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ing\Chart of Accounts-COA\Chart of Accounts-2025-26\"/>
    </mc:Choice>
  </mc:AlternateContent>
  <xr:revisionPtr revIDLastSave="0" documentId="13_ncr:1_{A18FBE42-33A6-4120-ACC6-74583B4131DF}" xr6:coauthVersionLast="47" xr6:coauthVersionMax="47" xr10:uidLastSave="{00000000-0000-0000-0000-000000000000}"/>
  <bookViews>
    <workbookView xWindow="6390" yWindow="1485" windowWidth="38700" windowHeight="15285" activeTab="3" xr2:uid="{EA6532FF-AB8F-4861-8AD9-64903B66683F}"/>
  </bookViews>
  <sheets>
    <sheet name="FUND" sheetId="9" r:id="rId1"/>
    <sheet name="LOCATION" sheetId="2" r:id="rId2"/>
    <sheet name="COST CENTER" sheetId="3" r:id="rId3"/>
    <sheet name="USER-ACTIVE" sheetId="6" r:id="rId4"/>
    <sheet name="OBJECT-ACTIVE" sheetId="7" r:id="rId5"/>
  </sheets>
  <definedNames>
    <definedName name="_xlnm._FilterDatabase" localSheetId="0" hidden="1">FUND!$A$2:$C$2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41" i="3" l="1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11" i="2"/>
  <c r="A10" i="2"/>
  <c r="A9" i="2"/>
  <c r="A8" i="2"/>
  <c r="A7" i="2"/>
  <c r="A6" i="2"/>
  <c r="A5" i="2"/>
  <c r="A4" i="2"/>
  <c r="A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SJECCD ODS Production" type="1" refreshedVersion="8">
    <dbPr connection="DRIVER=SQL Server;SERVER=redrobin;UID=Dle;Trusted_Connection=Yes;APP=Microsoft Office 2016;WSID=DESKTOP-RLK7JLH" command="SELECT X_GL_SUMMARY_MULTI_YEAR.GL_ACCTS_ID, X_GL_SUMMARY_MULTI_YEAR.&quot;Fiscal Year&quot;, X_GL_SUMMARY_MULTI_YEAR.&quot;Fiscal Month&quot;, X_GL_SUMMARY_MULTI_YEAR.&quot;Original Budget&quot;, X_GL_SUMMARY_MULTI_YEAR.&quot;Budget Adjustments&quot;, X_GL_SUMMARY_MULTI_YEAR.&quot;Adjusted Budget&quot;, X_GL_SUMMARY_MULTI_YEAR.&quot;Act Opening Bal&quot;, X_GL_SUMMARY_MULTI_YEAR.&quot;Act PTD Dr&quot;, X_GL_SUMMARY_MULTI_YEAR.&quot;Act PTD Cr&quot;, X_GL_SUMMARY_MULTI_YEAR.&quot;Actual End Bal&quot;, X_GL_SUMMARY_MULTI_YEAR.Encumbrances, X_GL_SUMMARY_MULTI_YEAR.&quot;Avail Funds&quot;, X_GL_SUMMARY_MULTI_YEAR.&quot;Active/Inactive&quot;, X_GL_SUMMARY_MULTI_YEAR.&quot;Ledger Status&quot;, X_GL_SUMMARY_MULTI_YEAR.&quot;Budget Officer Person  ID&quot;, X_GL_SUMMARY_MULTI_YEAR.&quot;Budget Officer Name&quot;, X_GL_SUMMARY_MULTI_YEAR.&quot;Budget Officer ID&quot;, X_GL_SUMMARY_MULTI_YEAR.&quot;Budget Officer Title&quot;, X_GL_SUMMARY_MULTI_YEAR.&quot;Fund Balance Acct&quot;, X_GL_SUMMARY_MULTI_YEAR.&quot;Fund Group&quot;, X_GL_SUMMARY_MULTI_YEAR.Fund, X_GL_SUMMARY_MULTI_YEAR.&quot;Location Group&quot;, X_GL_SUMMARY_MULTI_YEAR.Location, X_GL_SUMMARY_MULTI_YEAR.&quot;Minor CC&quot;, X_GL_SUMMARY_MULTI_YEAR.&quot;Subminor CC&quot;, X_GL_SUMMARY_MULTI_YEAR.&quot;Cost Center&quot;, X_GL_SUMMARY_MULTI_YEAR.&quot;Major User&quot;, X_GL_SUMMARY_MULTI_YEAR.&quot;Sub User&quot;, X_GL_SUMMARY_MULTI_YEAR.User_, X_GL_SUMMARY_MULTI_YEAR.&quot;Object Group&quot;, X_GL_SUMMARY_MULTI_YEAR.&quot;Major Object&quot;, X_GL_SUMMARY_MULTI_YEAR.&quot;Minor Object&quot;, X_GL_SUMMARY_MULTI_YEAR.&quot;Subminor Object&quot;, X_GL_SUMMARY_MULTI_YEAR.Object, X_GL_SUMMARY_MULTI_YEAR.&quot;BAM Object&quot;_x000d__x000a_FROM ODS_production.dbo.X_GL_SUMMARY_MULTI_YEAR X_GL_SUMMARY_MULTI_YEAR"/>
  </connection>
</connections>
</file>

<file path=xl/sharedStrings.xml><?xml version="1.0" encoding="utf-8"?>
<sst xmlns="http://schemas.openxmlformats.org/spreadsheetml/2006/main" count="1366" uniqueCount="1293">
  <si>
    <t>Description</t>
  </si>
  <si>
    <t>General Fund</t>
  </si>
  <si>
    <t>Parking Fund</t>
  </si>
  <si>
    <t>Budget Stabilization Fund</t>
  </si>
  <si>
    <t>Foundation Pass Through</t>
  </si>
  <si>
    <t>Student Success Enhancement Fd</t>
  </si>
  <si>
    <t>Facility Rental Auxiliary Fund</t>
  </si>
  <si>
    <t>Contract Ed Enterprise Fund</t>
  </si>
  <si>
    <t>Grants / Categoricals</t>
  </si>
  <si>
    <t>Student Health Fees Fund</t>
  </si>
  <si>
    <t>East San Jose</t>
  </si>
  <si>
    <t>Child Development Fund</t>
  </si>
  <si>
    <t>Capital Projects Fund</t>
  </si>
  <si>
    <t>GO Bond Fund Meas X Series C</t>
  </si>
  <si>
    <t>GO Bond Fund Meas X Series C-1</t>
  </si>
  <si>
    <t>GO Bond Fund Meas G-2010 Ser B</t>
  </si>
  <si>
    <t>GO Bond Fund Meas G-2010 Ser C</t>
  </si>
  <si>
    <t>GO Bond Fund Meas G-2010 Ser D</t>
  </si>
  <si>
    <t>GO Bond Fund Meas X Series A</t>
  </si>
  <si>
    <t>GO Bond Fund Meas X Series A-1</t>
  </si>
  <si>
    <t>GO Bond Fund Meas X Series B</t>
  </si>
  <si>
    <t>Student Financial Assistance</t>
  </si>
  <si>
    <t>Self-Insurance Fund</t>
  </si>
  <si>
    <t>Cafeteria Fund</t>
  </si>
  <si>
    <t>Associated Students Trust Fund</t>
  </si>
  <si>
    <t>Student Representative Fund</t>
  </si>
  <si>
    <t>Trust Fund OPEB</t>
  </si>
  <si>
    <t>L/T Debt Vacation Liability</t>
  </si>
  <si>
    <t>L/T Debt Retiree Benefit Fund</t>
  </si>
  <si>
    <t xml:space="preserve">L/T Debt OPEB </t>
  </si>
  <si>
    <t>Fixed Assets</t>
  </si>
  <si>
    <t xml:space="preserve">Scholarships and Loan Agency </t>
  </si>
  <si>
    <t>GASB</t>
  </si>
  <si>
    <t>LOCATION</t>
  </si>
  <si>
    <t>San Jose City College</t>
  </si>
  <si>
    <t>SJCC Prior Year C/O and One-time Items</t>
  </si>
  <si>
    <t>Evergreen Valley College</t>
  </si>
  <si>
    <t>EVC Prior Year C/O and One-time Items</t>
  </si>
  <si>
    <t>SJECC Extension</t>
  </si>
  <si>
    <t>DO Prior Year C/O and One-time Items</t>
  </si>
  <si>
    <t>District Services</t>
  </si>
  <si>
    <t>Districtwide</t>
  </si>
  <si>
    <t>No Cost Center</t>
  </si>
  <si>
    <t>Biological Studies</t>
  </si>
  <si>
    <t>Biology, General</t>
  </si>
  <si>
    <t>MASTEP - Biology</t>
  </si>
  <si>
    <t>HP Grant (Biology)</t>
  </si>
  <si>
    <t>General Business</t>
  </si>
  <si>
    <t>Accounting</t>
  </si>
  <si>
    <t>Business Management</t>
  </si>
  <si>
    <t>Business/Mgmt-VATEA</t>
  </si>
  <si>
    <t>Management &amp; Supervision</t>
  </si>
  <si>
    <t>Marketing</t>
  </si>
  <si>
    <t>Real Estate &amp; Escrow</t>
  </si>
  <si>
    <t>Computer Applications</t>
  </si>
  <si>
    <t>Labor Studies</t>
  </si>
  <si>
    <t>Economics</t>
  </si>
  <si>
    <t>Journalism</t>
  </si>
  <si>
    <t>Media Arts</t>
  </si>
  <si>
    <t>Broadcasting</t>
  </si>
  <si>
    <t>Digital Media</t>
  </si>
  <si>
    <t>CIS (Computer Info Systems)</t>
  </si>
  <si>
    <t>Computer Science</t>
  </si>
  <si>
    <t>Computer Info. Systems-VATEA</t>
  </si>
  <si>
    <t>CIS - Aspect Communications</t>
  </si>
  <si>
    <t>Nova Job Training Consortium</t>
  </si>
  <si>
    <t>Computer Software Development</t>
  </si>
  <si>
    <t>Cisco Certification</t>
  </si>
  <si>
    <t>Artificial Intelligence</t>
  </si>
  <si>
    <t>Education - Multicultural</t>
  </si>
  <si>
    <t>Adaptive - P.E.</t>
  </si>
  <si>
    <t>Basketball Men's</t>
  </si>
  <si>
    <t>Football</t>
  </si>
  <si>
    <t>Track/Cross Country</t>
  </si>
  <si>
    <t>Softball</t>
  </si>
  <si>
    <t>Basketball Women's</t>
  </si>
  <si>
    <t>Volleyball</t>
  </si>
  <si>
    <t>Baseball</t>
  </si>
  <si>
    <t>Golf</t>
  </si>
  <si>
    <t>Soccer Women's</t>
  </si>
  <si>
    <t xml:space="preserve">badminton </t>
  </si>
  <si>
    <t>Physical Education</t>
  </si>
  <si>
    <t>Varsity Sports</t>
  </si>
  <si>
    <t>Health Education</t>
  </si>
  <si>
    <t>Outdoor Adventures - P.E.</t>
  </si>
  <si>
    <t>Soccer</t>
  </si>
  <si>
    <t xml:space="preserve">Educational Technology DO NOT </t>
  </si>
  <si>
    <t>Educational Technology</t>
  </si>
  <si>
    <t xml:space="preserve">Digital Literacy </t>
  </si>
  <si>
    <t>Engineering General</t>
  </si>
  <si>
    <t>Engr/Trade-Perkins I C</t>
  </si>
  <si>
    <t>VTEA Laser Equip &amp; Staff Devel</t>
  </si>
  <si>
    <t>Engineering Technology</t>
  </si>
  <si>
    <t>Contruction Technology (old)</t>
  </si>
  <si>
    <t>Electronic Technology</t>
  </si>
  <si>
    <t>Electronics &amp; Electric Techno</t>
  </si>
  <si>
    <t>Laser Technology</t>
  </si>
  <si>
    <t>Air Conditioning/Refrig./Solar</t>
  </si>
  <si>
    <t>Solar Technology</t>
  </si>
  <si>
    <t>Manufacturing Technology</t>
  </si>
  <si>
    <t>Automotive Technology</t>
  </si>
  <si>
    <t>Construction Technology</t>
  </si>
  <si>
    <t>CADD</t>
  </si>
  <si>
    <t>Machine/Welding Technology</t>
  </si>
  <si>
    <t>Surveying &amp; Geomatics</t>
  </si>
  <si>
    <t>Water &amp; Wastewater Technology</t>
  </si>
  <si>
    <t>Emerging Technologies</t>
  </si>
  <si>
    <t>Art/Art History/Design-EVC</t>
  </si>
  <si>
    <t>Art/Art History/Design-SJCC</t>
  </si>
  <si>
    <t>Music-EVC</t>
  </si>
  <si>
    <t>Music-SJCC</t>
  </si>
  <si>
    <t>Dance</t>
  </si>
  <si>
    <t>Drama/Cinematography-SJCC</t>
  </si>
  <si>
    <t>Drama-EVC</t>
  </si>
  <si>
    <t>Folk Dance</t>
  </si>
  <si>
    <t>Photography-SJCC</t>
  </si>
  <si>
    <t>Photography-EVC</t>
  </si>
  <si>
    <t>Multimedia / Humanities</t>
  </si>
  <si>
    <t>Digital Media Design</t>
  </si>
  <si>
    <t>Tech Prep Project</t>
  </si>
  <si>
    <t>Foreign Languages-SJCC</t>
  </si>
  <si>
    <t>Foreign Languages-EVC</t>
  </si>
  <si>
    <t>Sign Language</t>
  </si>
  <si>
    <t>Hospital Council Of Santa Clara</t>
  </si>
  <si>
    <t>Nursing</t>
  </si>
  <si>
    <t>Dental Assisting</t>
  </si>
  <si>
    <t>Nursing Career Tech</t>
  </si>
  <si>
    <t>Medical Assisting</t>
  </si>
  <si>
    <t>Speech Language Pathology</t>
  </si>
  <si>
    <t>Emergency Medical Services</t>
  </si>
  <si>
    <t>Nursing Enrollment Growth Grnt</t>
  </si>
  <si>
    <t>Kinesiology</t>
  </si>
  <si>
    <t>Family And Consumer Studies</t>
  </si>
  <si>
    <t>Family &amp; Consumer Studies</t>
  </si>
  <si>
    <t>Consumer Ed/Home Econ-VATEA</t>
  </si>
  <si>
    <t>Legal Assistant</t>
  </si>
  <si>
    <t>Paralegal</t>
  </si>
  <si>
    <t>Legal Assist/Law-VATEA</t>
  </si>
  <si>
    <t>English</t>
  </si>
  <si>
    <t>Language Arts Center</t>
  </si>
  <si>
    <t>English, Reading I</t>
  </si>
  <si>
    <t>Interpretation/Translation</t>
  </si>
  <si>
    <t>Communications Studies</t>
  </si>
  <si>
    <t>Communication</t>
  </si>
  <si>
    <t>Philosophy-EVC</t>
  </si>
  <si>
    <t>Philosophy-SJCC</t>
  </si>
  <si>
    <t>ESL</t>
  </si>
  <si>
    <t>ESL Lab</t>
  </si>
  <si>
    <t>English Reading</t>
  </si>
  <si>
    <t>Speech/Language</t>
  </si>
  <si>
    <t>Speech/Pathology</t>
  </si>
  <si>
    <t>Title V Grant</t>
  </si>
  <si>
    <t>Library Studies</t>
  </si>
  <si>
    <t>Mathematics</t>
  </si>
  <si>
    <t>Mathematics General</t>
  </si>
  <si>
    <t>Math</t>
  </si>
  <si>
    <t>Apple Computer Grant/Math</t>
  </si>
  <si>
    <t>San Jose State - MASTEP</t>
  </si>
  <si>
    <t>Physical Science, General</t>
  </si>
  <si>
    <t>Physics</t>
  </si>
  <si>
    <t>Chemistry</t>
  </si>
  <si>
    <t>MASTEP - Chemistry</t>
  </si>
  <si>
    <t>Adapt &amp; Adopt Wrkshp-Chemistry</t>
  </si>
  <si>
    <t>Astronomy</t>
  </si>
  <si>
    <t>Geology</t>
  </si>
  <si>
    <t>Oceanography</t>
  </si>
  <si>
    <t>Psychology, General</t>
  </si>
  <si>
    <t>Alcohol and Drug Studies</t>
  </si>
  <si>
    <t>Public Works</t>
  </si>
  <si>
    <t>Transportation Program</t>
  </si>
  <si>
    <t>Administration of Justice-EVC</t>
  </si>
  <si>
    <t>Administration of Justice-SJCC</t>
  </si>
  <si>
    <t>Early Childhood Education</t>
  </si>
  <si>
    <t>Childhood/Mentor Teacher Program</t>
  </si>
  <si>
    <t>Basic Academy - EVC</t>
  </si>
  <si>
    <t>Dispatch</t>
  </si>
  <si>
    <t>Reserves</t>
  </si>
  <si>
    <t>In-Service Training</t>
  </si>
  <si>
    <t>Fire Science Training</t>
  </si>
  <si>
    <t>Corrections Training</t>
  </si>
  <si>
    <t>Hazardous Material Training</t>
  </si>
  <si>
    <t>EMT Emergency Medical Training</t>
  </si>
  <si>
    <t>Basic Academy - SJCC</t>
  </si>
  <si>
    <t>Legal and Community Interpreta</t>
  </si>
  <si>
    <t>Public Emp Training</t>
  </si>
  <si>
    <t>Americorps</t>
  </si>
  <si>
    <t>Social Science</t>
  </si>
  <si>
    <t>Women's Studies</t>
  </si>
  <si>
    <t>Anthropology</t>
  </si>
  <si>
    <t>History</t>
  </si>
  <si>
    <t>Child Development Consortium</t>
  </si>
  <si>
    <t>Ethnic Studies</t>
  </si>
  <si>
    <t>Custodial Services Education</t>
  </si>
  <si>
    <t>Cosmetology</t>
  </si>
  <si>
    <t>Esthetics</t>
  </si>
  <si>
    <t>Glazing</t>
  </si>
  <si>
    <t>Meat Cutters</t>
  </si>
  <si>
    <t>Ironworkers Apprenticeship</t>
  </si>
  <si>
    <t>Distance Education Program</t>
  </si>
  <si>
    <t>Block Grant (Instr'l)(97-98 One-time)</t>
  </si>
  <si>
    <t>Humanities</t>
  </si>
  <si>
    <t>Multimedia Lab</t>
  </si>
  <si>
    <t>Civic Center (EVC)</t>
  </si>
  <si>
    <t>Civic Center (SJCC)</t>
  </si>
  <si>
    <t>TTIP HR/Technical Training</t>
  </si>
  <si>
    <t xml:space="preserve">Staff Development </t>
  </si>
  <si>
    <t>Technology Block Grant</t>
  </si>
  <si>
    <t>Okay to Reassign</t>
  </si>
  <si>
    <t>Campus Tutoring Center</t>
  </si>
  <si>
    <t>Guidance - Tech Prep</t>
  </si>
  <si>
    <t>Liberal Studies</t>
  </si>
  <si>
    <t>ASPIRE</t>
  </si>
  <si>
    <t>Intersegmental Teacher Prep Grant</t>
  </si>
  <si>
    <t>Milpitas Classes</t>
  </si>
  <si>
    <t>Student Support Services Grant</t>
  </si>
  <si>
    <t>CALWORKS Agencies Match</t>
  </si>
  <si>
    <t>Instructional Technology</t>
  </si>
  <si>
    <t>General Studies-EVC</t>
  </si>
  <si>
    <t>Financial Aid - Students</t>
  </si>
  <si>
    <t>Work Study Teaching Intern Prg</t>
  </si>
  <si>
    <t>Project Start</t>
  </si>
  <si>
    <t>CALWORKS WorkStudy chgedto6412</t>
  </si>
  <si>
    <t>CALWORKS - Instructional</t>
  </si>
  <si>
    <t>Model Learning Communities</t>
  </si>
  <si>
    <t>Guidance Instruction</t>
  </si>
  <si>
    <t>General Studies Guid. Instruction</t>
  </si>
  <si>
    <t>Learning Skills Instruction</t>
  </si>
  <si>
    <t>General Studies-DHH (Deaf/HoH)</t>
  </si>
  <si>
    <t>General Studies-Visually Impaired</t>
  </si>
  <si>
    <t>General Studies - L.D.</t>
  </si>
  <si>
    <t>Honors Program</t>
  </si>
  <si>
    <t>DSP Hitech Center</t>
  </si>
  <si>
    <t>Writing Center</t>
  </si>
  <si>
    <t>Lab Fees</t>
  </si>
  <si>
    <t>Puente</t>
  </si>
  <si>
    <t>Improved Student Writing Grant</t>
  </si>
  <si>
    <t>Enlace</t>
  </si>
  <si>
    <t>Affirm</t>
  </si>
  <si>
    <t>Focus on Careers</t>
  </si>
  <si>
    <t>Title III</t>
  </si>
  <si>
    <t>Instructional Operations</t>
  </si>
  <si>
    <t>AB-825 Block Grant</t>
  </si>
  <si>
    <t>Available for use</t>
  </si>
  <si>
    <t>Komag</t>
  </si>
  <si>
    <t>Pacific Bell</t>
  </si>
  <si>
    <t>AT&amp;T</t>
  </si>
  <si>
    <t>Assessment &amp; Consulting-Instr</t>
  </si>
  <si>
    <t>Workforce Devlp &amp; Instruction</t>
  </si>
  <si>
    <t>Instructional Computing Infrastructure</t>
  </si>
  <si>
    <t>Instructional Equipment</t>
  </si>
  <si>
    <t>Curriculum Development</t>
  </si>
  <si>
    <t>Dual Enrollment: Instr</t>
  </si>
  <si>
    <t>Coop. Work Experience-SJCC</t>
  </si>
  <si>
    <t>Coop. Work Experience-EVC</t>
  </si>
  <si>
    <t>Accreditation - Instructional</t>
  </si>
  <si>
    <t>Program Review - Instructional</t>
  </si>
  <si>
    <t>Other Interdisciplinary Studies</t>
  </si>
  <si>
    <t>Retirees' Benefits-Instructional</t>
  </si>
  <si>
    <t>Accumulated Vacation-Instr.</t>
  </si>
  <si>
    <t>Nursing &amp; Allied Hlth Division</t>
  </si>
  <si>
    <t>CJTC</t>
  </si>
  <si>
    <t>Faculty Association</t>
  </si>
  <si>
    <t>Faculty Senate</t>
  </si>
  <si>
    <t>Academic Senate</t>
  </si>
  <si>
    <t>Classified Senate</t>
  </si>
  <si>
    <t>Child Development Training Consortium</t>
  </si>
  <si>
    <t>Honors Program Administration</t>
  </si>
  <si>
    <t>Vice President, Instruction</t>
  </si>
  <si>
    <t>Center for Teaching &amp; Learning</t>
  </si>
  <si>
    <t>Student Success - Digital Econ</t>
  </si>
  <si>
    <t>Milpitas</t>
  </si>
  <si>
    <t>Academic Hourly Services</t>
  </si>
  <si>
    <t>Adjunct Work Labs</t>
  </si>
  <si>
    <t>Roble Cluster</t>
  </si>
  <si>
    <t>P.E. Building</t>
  </si>
  <si>
    <t>Gullo Building</t>
  </si>
  <si>
    <t>IESS</t>
  </si>
  <si>
    <t>Cal Community College Foundt'n</t>
  </si>
  <si>
    <t>Teach Read Devel Ptnshp (TRDP)</t>
  </si>
  <si>
    <t>Graduation</t>
  </si>
  <si>
    <t>Scholarship Expenses</t>
  </si>
  <si>
    <t>Diversity Project</t>
  </si>
  <si>
    <t>Learning Assistance Center</t>
  </si>
  <si>
    <t>Office of Academic Support</t>
  </si>
  <si>
    <t>Division of PE &amp; Athletics</t>
  </si>
  <si>
    <t>North Carolina - NSF</t>
  </si>
  <si>
    <t>Division of Business Technolog</t>
  </si>
  <si>
    <t>Division of Social Sciences</t>
  </si>
  <si>
    <t>Division of Humanities</t>
  </si>
  <si>
    <t>Dir. of Instr-Human Educ Serv.</t>
  </si>
  <si>
    <t>Language Arts Division</t>
  </si>
  <si>
    <t>Instructional Admin - Misc.</t>
  </si>
  <si>
    <t>Division of Natural Sciences</t>
  </si>
  <si>
    <t>Division of PE &amp; Appl'd Health</t>
  </si>
  <si>
    <t>Division LLRC Adult Ed Dual En</t>
  </si>
  <si>
    <t>Economic Dev, Educ &amp; Training</t>
  </si>
  <si>
    <t>School to Career Grant</t>
  </si>
  <si>
    <t>Student Development Program</t>
  </si>
  <si>
    <t>Foster Care Education (FCE)</t>
  </si>
  <si>
    <t>Outreach &amp; Recruitment Grant</t>
  </si>
  <si>
    <t>Study Smarter Grant</t>
  </si>
  <si>
    <t>Title III Technology Skills</t>
  </si>
  <si>
    <t>4C@One</t>
  </si>
  <si>
    <t>Technology for Teaching</t>
  </si>
  <si>
    <t>WestEd Personnel Prep Proj</t>
  </si>
  <si>
    <t>Title III Institutional Management</t>
  </si>
  <si>
    <t>Title III Strengthening Academic Prgs</t>
  </si>
  <si>
    <t>Title III Funds Management</t>
  </si>
  <si>
    <t>Title III Project Mgt &amp; Evaluation</t>
  </si>
  <si>
    <t>Accreditation</t>
  </si>
  <si>
    <t>Title IX</t>
  </si>
  <si>
    <t>Metas Center</t>
  </si>
  <si>
    <t>Student Success Grant - Instit</t>
  </si>
  <si>
    <t>Student Success Grant - Plan</t>
  </si>
  <si>
    <t>National Science Foundation</t>
  </si>
  <si>
    <t>NSF Advanced Information Technology</t>
  </si>
  <si>
    <t>NSF Model Curric - Civil Eng</t>
  </si>
  <si>
    <t>Student/Administrative System</t>
  </si>
  <si>
    <t>Ongoing Student System Support</t>
  </si>
  <si>
    <t>Center for Service Learning</t>
  </si>
  <si>
    <t>Learning Center</t>
  </si>
  <si>
    <t>Learning Center Support</t>
  </si>
  <si>
    <t>Math &amp; Science Resource Center</t>
  </si>
  <si>
    <t>Library</t>
  </si>
  <si>
    <t>Library &amp; Learning Rsrc Divsn</t>
  </si>
  <si>
    <t>Independent Studies</t>
  </si>
  <si>
    <t>Campus Technology Services</t>
  </si>
  <si>
    <t>Campus Computer Support</t>
  </si>
  <si>
    <t>TMAP Grant (Hartnell)</t>
  </si>
  <si>
    <t>Campus Tech Support &amp; Services</t>
  </si>
  <si>
    <t>Art Gallery</t>
  </si>
  <si>
    <t>MESA</t>
  </si>
  <si>
    <t>Dual Enrollment: Non-Instr</t>
  </si>
  <si>
    <t>Admissions &amp; Records</t>
  </si>
  <si>
    <t>Admissions &amp; Records Support</t>
  </si>
  <si>
    <t>VA Administrative Support</t>
  </si>
  <si>
    <t>Student Refunds</t>
  </si>
  <si>
    <t>Counseling</t>
  </si>
  <si>
    <t>Reentry Counseling</t>
  </si>
  <si>
    <t>Schedules and Catalogs</t>
  </si>
  <si>
    <t>Re-Entry</t>
  </si>
  <si>
    <t>Student Success &amp; Support Prog</t>
  </si>
  <si>
    <t>Counseling &amp; Matric Division</t>
  </si>
  <si>
    <t>Outreach - PFE</t>
  </si>
  <si>
    <t>Careers in Teaching</t>
  </si>
  <si>
    <t>Counseling Support</t>
  </si>
  <si>
    <t>Transfer Center</t>
  </si>
  <si>
    <t>Career Bridges</t>
  </si>
  <si>
    <t>Assess't to Provide Info &amp; Trn</t>
  </si>
  <si>
    <t>Assessment (Testing Center)</t>
  </si>
  <si>
    <t>Student Assessment</t>
  </si>
  <si>
    <t>First Stop Center</t>
  </si>
  <si>
    <t xml:space="preserve">Transfer </t>
  </si>
  <si>
    <t>Articulation</t>
  </si>
  <si>
    <t>Not Assigned</t>
  </si>
  <si>
    <t>Enrollment Management</t>
  </si>
  <si>
    <t>CalWORKs - Coordination</t>
  </si>
  <si>
    <t>CalWORKs - Curriculum Dev't</t>
  </si>
  <si>
    <t>CalWORKs - Work Study</t>
  </si>
  <si>
    <t>Financial Aid Office (use 6460 in 93-94)</t>
  </si>
  <si>
    <t>Disabled Student Program</t>
  </si>
  <si>
    <t>EOPS - Admin Parts A and C</t>
  </si>
  <si>
    <t>EOPS / CARE</t>
  </si>
  <si>
    <t>EOPS - Admin Part B</t>
  </si>
  <si>
    <t>EOPS - Fund 10</t>
  </si>
  <si>
    <t>OASISS</t>
  </si>
  <si>
    <t>Special Programs</t>
  </si>
  <si>
    <t>Health Services</t>
  </si>
  <si>
    <t>American Disabilities Act</t>
  </si>
  <si>
    <t>VP, Student Services</t>
  </si>
  <si>
    <t>Academic Success/Student Equit</t>
  </si>
  <si>
    <t>Grove Foundation Grant</t>
  </si>
  <si>
    <t>Financial Aid Office</t>
  </si>
  <si>
    <t>Financial Aid Office Support</t>
  </si>
  <si>
    <t>Financial Aid Admin Allow-BOG</t>
  </si>
  <si>
    <t>Job Placement Services</t>
  </si>
  <si>
    <t>CALWORKS</t>
  </si>
  <si>
    <t>Youth Teen Work</t>
  </si>
  <si>
    <t>HACU (Hispanic Assoc Col &amp; Un)</t>
  </si>
  <si>
    <t>TANF/CDC Program</t>
  </si>
  <si>
    <t>CalWORKS Surplus Sale</t>
  </si>
  <si>
    <t>CalFresh Basic Needs</t>
  </si>
  <si>
    <t>TANF</t>
  </si>
  <si>
    <t>Veteran Services</t>
  </si>
  <si>
    <t>New Start</t>
  </si>
  <si>
    <t>United Way Grant</t>
  </si>
  <si>
    <t>WIA Youth Grant</t>
  </si>
  <si>
    <t>Co Exc Cost Serv-CALWORKS-SJCC</t>
  </si>
  <si>
    <t>Financial Incentive Grant</t>
  </si>
  <si>
    <t>Fresh Start Grant</t>
  </si>
  <si>
    <t>CalWorks LD Diagnostic Serv Gr</t>
  </si>
  <si>
    <t>Student Outreach &amp; Recruitment</t>
  </si>
  <si>
    <t>County Excess Costs Service for CALWORKS</t>
  </si>
  <si>
    <t>Student Success/Equity Plan.</t>
  </si>
  <si>
    <t>Independent Living Program</t>
  </si>
  <si>
    <t>Umoja - Misc Student Srvs</t>
  </si>
  <si>
    <t>Service Learning</t>
  </si>
  <si>
    <t>International Students</t>
  </si>
  <si>
    <t>Office of VP, Strategic Partne</t>
  </si>
  <si>
    <t>Misc Student Services</t>
  </si>
  <si>
    <t>Maintenance</t>
  </si>
  <si>
    <t>Custodial</t>
  </si>
  <si>
    <t>Grounds</t>
  </si>
  <si>
    <t>Repairs to Equipment</t>
  </si>
  <si>
    <t>Utilities</t>
  </si>
  <si>
    <t>Board Of Trustees</t>
  </si>
  <si>
    <t>Chancellor's Office</t>
  </si>
  <si>
    <t>Marketing &amp; PIO</t>
  </si>
  <si>
    <t>Governmental/Ext Relations</t>
  </si>
  <si>
    <t>Facilities &amp; Planning</t>
  </si>
  <si>
    <t>Mandated Costs - Miscellaneous</t>
  </si>
  <si>
    <t>Vice Chancellor-Administrative Services</t>
  </si>
  <si>
    <t>College President</t>
  </si>
  <si>
    <t>Packard Grant/Strategic Planning</t>
  </si>
  <si>
    <t>China Trip</t>
  </si>
  <si>
    <t>EVC Campus</t>
  </si>
  <si>
    <t>City Sports Center</t>
  </si>
  <si>
    <t>Bascom Property Acquisition</t>
  </si>
  <si>
    <t>Districtwide Instructional Srv</t>
  </si>
  <si>
    <t>Title III Contract</t>
  </si>
  <si>
    <t>Multiyear Planning</t>
  </si>
  <si>
    <t>Marketing/Enrollment Mgt</t>
  </si>
  <si>
    <t>College Events</t>
  </si>
  <si>
    <t>Resource Developer</t>
  </si>
  <si>
    <t>San Jose State Univ Foundation</t>
  </si>
  <si>
    <t>Fiscal Services</t>
  </si>
  <si>
    <t>SJCC Budget Operations</t>
  </si>
  <si>
    <t>EVC Budget Operations</t>
  </si>
  <si>
    <t>Accounts Receivable</t>
  </si>
  <si>
    <t>Teleconference</t>
  </si>
  <si>
    <t>Fiscal Services - Payroll</t>
  </si>
  <si>
    <t>Associated Student Body</t>
  </si>
  <si>
    <t>District Wide Operations</t>
  </si>
  <si>
    <t>Accounts Payable</t>
  </si>
  <si>
    <t>Human Resources Management</t>
  </si>
  <si>
    <t>Human Resources Districtwide</t>
  </si>
  <si>
    <t>Human Resources Executive Searches</t>
  </si>
  <si>
    <t>Diversity Coordinator</t>
  </si>
  <si>
    <t>Equal Opportunity Employ Grant</t>
  </si>
  <si>
    <t>Risk Management</t>
  </si>
  <si>
    <t>Staff Development - Administrators</t>
  </si>
  <si>
    <t>Staff Development - Faculty</t>
  </si>
  <si>
    <t>Staff Development - Classified</t>
  </si>
  <si>
    <t>Staff Development - D.O.</t>
  </si>
  <si>
    <t>Packard Faculty Tech. Training</t>
  </si>
  <si>
    <t>Santa Cruz COE</t>
  </si>
  <si>
    <t>Staff Diversity</t>
  </si>
  <si>
    <t>Campus Police</t>
  </si>
  <si>
    <t>Fiscal Services - Purchasing</t>
  </si>
  <si>
    <t>Reprographics</t>
  </si>
  <si>
    <t>PBX Operations</t>
  </si>
  <si>
    <t>Emergency Operating Center EOC</t>
  </si>
  <si>
    <t>Warehouse</t>
  </si>
  <si>
    <t>Cal O.S.H.A.</t>
  </si>
  <si>
    <t>Self Insurance</t>
  </si>
  <si>
    <t>Sale of Equipment and Property</t>
  </si>
  <si>
    <t>ITSS</t>
  </si>
  <si>
    <t>TTIP 4CNet Data</t>
  </si>
  <si>
    <t>Web Support</t>
  </si>
  <si>
    <t>Telephone System Upgrade</t>
  </si>
  <si>
    <t>TTIP Video Line</t>
  </si>
  <si>
    <t>TTIP Technical Planning</t>
  </si>
  <si>
    <t>TTIP Technical Access</t>
  </si>
  <si>
    <t>TTIP Library Automation</t>
  </si>
  <si>
    <t>TTIP Video Conf Upgrade Grant</t>
  </si>
  <si>
    <t>E-Transcript Pilot Project</t>
  </si>
  <si>
    <t>Retirees' Benefits</t>
  </si>
  <si>
    <t>Retirement Incentives</t>
  </si>
  <si>
    <t>Accumulated Vacation-Noninstr.</t>
  </si>
  <si>
    <t>I.D.E.A. Grant</t>
  </si>
  <si>
    <t>SJCC Campus Wide</t>
  </si>
  <si>
    <t>Institutional Support Services</t>
  </si>
  <si>
    <t>San Jose Extension</t>
  </si>
  <si>
    <t>CEM Administrative</t>
  </si>
  <si>
    <t>WIA 15% Fund</t>
  </si>
  <si>
    <t xml:space="preserve">Peyser Fund </t>
  </si>
  <si>
    <t>EDD Fund</t>
  </si>
  <si>
    <t xml:space="preserve">Foundation - Pass Through </t>
  </si>
  <si>
    <t xml:space="preserve">East San Jose Expansion </t>
  </si>
  <si>
    <t>Corporate Sales</t>
  </si>
  <si>
    <t>On-line Classes</t>
  </si>
  <si>
    <t>Cohorts (WIOA)</t>
  </si>
  <si>
    <t>Community Education</t>
  </si>
  <si>
    <t>SVETP/MAPin Sustainablity</t>
  </si>
  <si>
    <t>WIA -  Adult Grants</t>
  </si>
  <si>
    <t>CEM - SparkPoint SJ</t>
  </si>
  <si>
    <t>SVETP/MAPin</t>
  </si>
  <si>
    <t>Perf Imp Organ/Instit Devel</t>
  </si>
  <si>
    <t>Econ RTF-Nano IBP</t>
  </si>
  <si>
    <t>WIA-SVWIN Henkels &amp; McCoy</t>
  </si>
  <si>
    <t>Facilities</t>
  </si>
  <si>
    <t>Community Services</t>
  </si>
  <si>
    <t>Bookstore (Clearing Account)</t>
  </si>
  <si>
    <t>Bookstore Contracts</t>
  </si>
  <si>
    <t>Child Development Center</t>
  </si>
  <si>
    <t>Child Development - Business Services</t>
  </si>
  <si>
    <t>Child Development - Custodial Services</t>
  </si>
  <si>
    <t>Cafeteria</t>
  </si>
  <si>
    <t>Parking - Campus Police</t>
  </si>
  <si>
    <t>Parking - Maintenance</t>
  </si>
  <si>
    <t>Parking - Grounds</t>
  </si>
  <si>
    <t>Parking - Support</t>
  </si>
  <si>
    <t>Student Activities</t>
  </si>
  <si>
    <t>Foundation Activities</t>
  </si>
  <si>
    <t>Other Ancillary Services</t>
  </si>
  <si>
    <t>Contract Education</t>
  </si>
  <si>
    <t>IBM/WSO</t>
  </si>
  <si>
    <t>Ford</t>
  </si>
  <si>
    <t>On-Line Courses</t>
  </si>
  <si>
    <t>Solectron</t>
  </si>
  <si>
    <t>On Line Traffic School</t>
  </si>
  <si>
    <t>Traffic Violator's School</t>
  </si>
  <si>
    <t>MCSE</t>
  </si>
  <si>
    <t>Kaiser Permanente</t>
  </si>
  <si>
    <t>Medical</t>
  </si>
  <si>
    <t>Office Suite Short Courses</t>
  </si>
  <si>
    <t>Mous (Office Professionals)</t>
  </si>
  <si>
    <t>U.S. Army</t>
  </si>
  <si>
    <t>Sony</t>
  </si>
  <si>
    <t>Anritsu (Wiltron)</t>
  </si>
  <si>
    <t>Video Conferencing</t>
  </si>
  <si>
    <t>The Alliance (AT&amp;T)</t>
  </si>
  <si>
    <t>Anelva</t>
  </si>
  <si>
    <t>Hadco</t>
  </si>
  <si>
    <t>Paramit</t>
  </si>
  <si>
    <t>Santa Clara County</t>
  </si>
  <si>
    <t>Bs/Wrk Prf Imp Prof Dev</t>
  </si>
  <si>
    <t>Bs/Wrk Prf Imp Ctr of Excel</t>
  </si>
  <si>
    <t>CAEP-SBCAE</t>
  </si>
  <si>
    <t>CA Radiation</t>
  </si>
  <si>
    <t>WIA - Dislocated Workers Grant</t>
  </si>
  <si>
    <t>Bolt- Boeing, Northrup-Grumman</t>
  </si>
  <si>
    <t>SBAE Consortium</t>
  </si>
  <si>
    <t>Def Sch maintenance</t>
  </si>
  <si>
    <t>Sched Maint &amp; Special Repairs</t>
  </si>
  <si>
    <t>Evergreen Campus-chngd 1/17/07</t>
  </si>
  <si>
    <t>San Jose Campus-chngd 1/17/07</t>
  </si>
  <si>
    <t>District Services-chgd 1/17/07</t>
  </si>
  <si>
    <t>Building Construction</t>
  </si>
  <si>
    <t>ADA Proj (American w/Disab)</t>
  </si>
  <si>
    <t>Tech Upgrades &amp; Replacement</t>
  </si>
  <si>
    <t>EVC Relocation-Main Power Feed</t>
  </si>
  <si>
    <t>SJCC Fieldhouse Grant - City of San Jose</t>
  </si>
  <si>
    <t>EVC Nursing/Biology Building</t>
  </si>
  <si>
    <t>EVC Multidiscliplinary Tech. Ctr.</t>
  </si>
  <si>
    <t>EVC Library/High Tech Center</t>
  </si>
  <si>
    <t>SJCC Library/Learning Resource Center</t>
  </si>
  <si>
    <t>Child Care Facilities Grant</t>
  </si>
  <si>
    <t>Program Administration</t>
  </si>
  <si>
    <t>SJCC Parking Garage</t>
  </si>
  <si>
    <t>CJTC Utility Upgrade</t>
  </si>
  <si>
    <t>SJCC Viron - PBESC</t>
  </si>
  <si>
    <t>EVC Facility Master Plan</t>
  </si>
  <si>
    <t>Facilities Support</t>
  </si>
  <si>
    <t>SJCC Southwest Quad-Civil/Site</t>
  </si>
  <si>
    <t>Sch. Maint.-SJCC-Library Air Handlers</t>
  </si>
  <si>
    <t>Project Program Manager</t>
  </si>
  <si>
    <t>SJCC Utility Infrastructure</t>
  </si>
  <si>
    <t>Safety &amp; Security Improvements</t>
  </si>
  <si>
    <t>EVC Gullo - Secondary Effects</t>
  </si>
  <si>
    <t>District &amp; Campus Master Plann</t>
  </si>
  <si>
    <t>EVC Viron - PBESC</t>
  </si>
  <si>
    <t>Building Improvements</t>
  </si>
  <si>
    <t>SJCC GE Classroom Upgrade</t>
  </si>
  <si>
    <t>SJCC Science/Math Complex</t>
  </si>
  <si>
    <t>SJCC Fine Arts/Drama Class Upg</t>
  </si>
  <si>
    <t>EVC Utility Infrastructure MP</t>
  </si>
  <si>
    <t>EVC Gullo - Phase II</t>
  </si>
  <si>
    <t>Infrast/Utilities/Elect Imprv</t>
  </si>
  <si>
    <t>EVC Arts Complex</t>
  </si>
  <si>
    <t>Def. Maint.-SJCC-Reroof Library</t>
  </si>
  <si>
    <t>EVC Exterior Corridors-Safety</t>
  </si>
  <si>
    <t>Def. Maint.-SJCC-Restrooms</t>
  </si>
  <si>
    <t>Furniture &amp; Equipt (Non-Proj)</t>
  </si>
  <si>
    <t>Site Improvements</t>
  </si>
  <si>
    <t>EIR (Environmental Impact Rep)</t>
  </si>
  <si>
    <t>Site Acquisition</t>
  </si>
  <si>
    <t>Scheduled Maintenance</t>
  </si>
  <si>
    <t>Scheduled Maintenance (02-03)</t>
  </si>
  <si>
    <t>Scheduled Maintenance (03-04)</t>
  </si>
  <si>
    <t>Scheduled Maintenance (04-05)</t>
  </si>
  <si>
    <t>Scheduled Maintenance (05-06)</t>
  </si>
  <si>
    <t>SJCC NE Quadrant Landscape</t>
  </si>
  <si>
    <t>SJCC NE Quadrant Civil/Site</t>
  </si>
  <si>
    <t>SJCC Central Plant</t>
  </si>
  <si>
    <t>EVC Cedro HVAC 4-Pipe Upgrade</t>
  </si>
  <si>
    <t>EVC Skylight - Roble/Acacia</t>
  </si>
  <si>
    <t>EVC Exterior Paint Campuswide</t>
  </si>
  <si>
    <t>EVC Landscape Master Plan</t>
  </si>
  <si>
    <t>EVC Exterior/Landscape Improve</t>
  </si>
  <si>
    <t>SJCC High Technology Center</t>
  </si>
  <si>
    <t>SJCC Running Track Upgrade</t>
  </si>
  <si>
    <t>SJCC Football Field Upgrade</t>
  </si>
  <si>
    <t>SJCC Sports Complex MP Design</t>
  </si>
  <si>
    <t>SJCC Track &amp; Field Safety Mit.</t>
  </si>
  <si>
    <t>EVC Montgomery Hill Observatry</t>
  </si>
  <si>
    <t>EVC Soccer Field Upgrade</t>
  </si>
  <si>
    <t>EVC Tennis Court Upgrade</t>
  </si>
  <si>
    <t>SJCC Campus MDF Design</t>
  </si>
  <si>
    <t>SJCC Utility Infrastruct. Ext.</t>
  </si>
  <si>
    <t>SJCC Secondary Effects</t>
  </si>
  <si>
    <t>EVC Safety Upgrades</t>
  </si>
  <si>
    <t>SJCC Student Union Remodel</t>
  </si>
  <si>
    <t>SJCC Applied Sciences Complex</t>
  </si>
  <si>
    <t>EVC Central Util Plant Upgrade</t>
  </si>
  <si>
    <t>EVC Math &amp; Science Rs Ct Remod</t>
  </si>
  <si>
    <t>DO San Felipe Intersection Imp</t>
  </si>
  <si>
    <t>DO Facility Improvements</t>
  </si>
  <si>
    <t>EVC Classrooms Upgrade</t>
  </si>
  <si>
    <t>EVC Library/ETC 2nd Effects</t>
  </si>
  <si>
    <t>EVC Signage</t>
  </si>
  <si>
    <t>SJCC Moorpark/Lel Signal Light</t>
  </si>
  <si>
    <t>SJCC Signage</t>
  </si>
  <si>
    <t>EVC Portable Classroom Add'n</t>
  </si>
  <si>
    <t>EVC Montgomery Hall Upgrade</t>
  </si>
  <si>
    <t>EVC A &amp; R Remodel</t>
  </si>
  <si>
    <t>EVC Chem/Physics Lab Remodel</t>
  </si>
  <si>
    <t>Biology/Nurs Secondary Effects</t>
  </si>
  <si>
    <t>SJCC Business Building Renov'n</t>
  </si>
  <si>
    <t>SJCC Business Ed Classroom Upg</t>
  </si>
  <si>
    <t>SJCC Utilites Extension Ph. 3</t>
  </si>
  <si>
    <t>EVC Staff Parking Lot 4A</t>
  </si>
  <si>
    <t>EVC Heat/Cool Loop Upgrd Ph 2</t>
  </si>
  <si>
    <t>Bookstore/Reprographics Expansion</t>
  </si>
  <si>
    <t>Student Union Remodeling</t>
  </si>
  <si>
    <t>Legal Fees / Districtwide</t>
  </si>
  <si>
    <t>SJCC Building B Renovation</t>
  </si>
  <si>
    <t>Hazardous Substances Removal</t>
  </si>
  <si>
    <t>SJCC Student Serv/Career Ctr</t>
  </si>
  <si>
    <t>EVC Cedro HVAC Upgrade, Ph III</t>
  </si>
  <si>
    <t>EVC Util Support, Arts Complex</t>
  </si>
  <si>
    <t>EVC Fire Alarm Desgn, Arts Cmp</t>
  </si>
  <si>
    <t>Long Term Debt</t>
  </si>
  <si>
    <t>General Obligation Bond</t>
  </si>
  <si>
    <t>OPEB Bond</t>
  </si>
  <si>
    <t>?</t>
  </si>
  <si>
    <t>TRANs</t>
  </si>
  <si>
    <t>Other Financing</t>
  </si>
  <si>
    <t>Interfund Transfers</t>
  </si>
  <si>
    <t xml:space="preserve">Grant Indirect </t>
  </si>
  <si>
    <t>Direct Fin Aid</t>
  </si>
  <si>
    <t>Direct Fin. Aid (Grants/Loans)</t>
  </si>
  <si>
    <t>CLP - EOPS</t>
  </si>
  <si>
    <t>Direct Fin. Aid (Scholarships)</t>
  </si>
  <si>
    <t>Payments to/for Students</t>
  </si>
  <si>
    <t>Appropriation For Contingencies</t>
  </si>
  <si>
    <t>Certificated Salary Contingency</t>
  </si>
  <si>
    <t>Classified Salary Contingency</t>
  </si>
  <si>
    <t>Partnership for Excellence Holding</t>
  </si>
  <si>
    <t>Undistributed Costs</t>
  </si>
  <si>
    <t>Budget Savings Holding</t>
  </si>
  <si>
    <t>General Ledger Expense</t>
  </si>
  <si>
    <t>EOPS</t>
  </si>
  <si>
    <t>USER</t>
  </si>
  <si>
    <t>User Unspecified</t>
  </si>
  <si>
    <t>SUI Experience Rate</t>
  </si>
  <si>
    <t>SEAASE</t>
  </si>
  <si>
    <t>Federal  Work Study</t>
  </si>
  <si>
    <t>Trio - Upward Bound</t>
  </si>
  <si>
    <t>Trio - Talent Search</t>
  </si>
  <si>
    <t>AANAPISI Asian American</t>
  </si>
  <si>
    <t>VTEA Title I-C</t>
  </si>
  <si>
    <t>Pell</t>
  </si>
  <si>
    <t>SEOG</t>
  </si>
  <si>
    <t>Direct Loan</t>
  </si>
  <si>
    <t>CARES ACT HigherEd Emgy RlfMSI</t>
  </si>
  <si>
    <t>CRRSAA HEERF II</t>
  </si>
  <si>
    <t>CRRSAA HEERF II MSI</t>
  </si>
  <si>
    <t>ARPA HEERF III</t>
  </si>
  <si>
    <t>ARPA HEERF III MSI</t>
  </si>
  <si>
    <t>Undefined Financial Aid Exp.</t>
  </si>
  <si>
    <t>Federal MAA Program</t>
  </si>
  <si>
    <t>Silicon Valley Adv Manufactrng</t>
  </si>
  <si>
    <t>Title V Grant - Year 2</t>
  </si>
  <si>
    <t>Title V Grant - Year 4</t>
  </si>
  <si>
    <t>TitleV-Yr5_Culti. Excele</t>
  </si>
  <si>
    <t>Title V: GANAS - Y1</t>
  </si>
  <si>
    <t>Title V: GANAS - Y2</t>
  </si>
  <si>
    <t>Title V: GANAS - Y3</t>
  </si>
  <si>
    <t>Title V: GANAS - Y4</t>
  </si>
  <si>
    <t>MESA SJSU Federal 21-22 Y1</t>
  </si>
  <si>
    <t>MESA SJSU 23-24 Y3</t>
  </si>
  <si>
    <t>Title V: Si Se Puede - Y1</t>
  </si>
  <si>
    <t>Veteran's Administration</t>
  </si>
  <si>
    <t>NSF INCLUDES Alliance Yr 4</t>
  </si>
  <si>
    <t>NSF INCLUDES Alliance Yr 5</t>
  </si>
  <si>
    <t>NSF-SRI Badging Skills CTE</t>
  </si>
  <si>
    <t>NSF-STEM Biology</t>
  </si>
  <si>
    <t>NSF - SEA PHAGES</t>
  </si>
  <si>
    <t>YESS-ILP</t>
  </si>
  <si>
    <t>CalFresh (CSU Chico)</t>
  </si>
  <si>
    <t>Other Federal</t>
  </si>
  <si>
    <t>EOP&amp;S</t>
  </si>
  <si>
    <t>NextUp</t>
  </si>
  <si>
    <t>Learning Aligned Employmt Prog</t>
  </si>
  <si>
    <t>Equitable Placement, Planning</t>
  </si>
  <si>
    <t>DSP/Student Accessibility</t>
  </si>
  <si>
    <t>LGBTQ+</t>
  </si>
  <si>
    <t>Student Transfer Achievement</t>
  </si>
  <si>
    <t>A2MEND</t>
  </si>
  <si>
    <t>Transfer Articul Ethnic Study</t>
  </si>
  <si>
    <t>Common Course Numbering</t>
  </si>
  <si>
    <t>Student Support Block One-Time</t>
  </si>
  <si>
    <t>Student Equity &amp; Achievement</t>
  </si>
  <si>
    <t>Student Equity</t>
  </si>
  <si>
    <t>Hunger Free Campus Support</t>
  </si>
  <si>
    <t>Zero Textbook Cost Degree</t>
  </si>
  <si>
    <t>Veteran Resource Center (SSSP)</t>
  </si>
  <si>
    <t>Dream Resource Liaison</t>
  </si>
  <si>
    <t>Zero Textbook Cost Degr-Accelr</t>
  </si>
  <si>
    <t>Zero Textbook Cost Degr-Impact</t>
  </si>
  <si>
    <t>Basic Needs Centers</t>
  </si>
  <si>
    <t>Student Food House Spt-BasicNd</t>
  </si>
  <si>
    <t>Emrgncy Aid Dream CADAA Onetim</t>
  </si>
  <si>
    <t>AANHPI Student Achiev-One Time</t>
  </si>
  <si>
    <t>Dream Resourc Ctr Emgcy Onetim</t>
  </si>
  <si>
    <t>SJCC Campus Modernization</t>
  </si>
  <si>
    <t>Umoja Community Edu Foundation</t>
  </si>
  <si>
    <t>MESA State 22-23 Y1</t>
  </si>
  <si>
    <t>State Apport-Apprentices</t>
  </si>
  <si>
    <t>Apprent Pathways Demonstration</t>
  </si>
  <si>
    <t>CA Apprenticeship Initiative</t>
  </si>
  <si>
    <t>CA Apprentice Init-Googl Elmwd</t>
  </si>
  <si>
    <t>CA Apprentice Init - CARE</t>
  </si>
  <si>
    <t>CAI - EDU Pathway</t>
  </si>
  <si>
    <t>CAI - LVN to R Nurse Planning</t>
  </si>
  <si>
    <t>CAI - Apprntshp Demonstration</t>
  </si>
  <si>
    <t>CAI - Planning Electrical</t>
  </si>
  <si>
    <t>County Excess Costs Serv-CALWORKS</t>
  </si>
  <si>
    <t>Financial Aid Administr SFAA</t>
  </si>
  <si>
    <t>Financial Aid Technology</t>
  </si>
  <si>
    <t>Fin Aid Admin SFAA - One Time</t>
  </si>
  <si>
    <t>Block Grant - Instr. Support</t>
  </si>
  <si>
    <t>Block Grant - Phys Plant 19-20</t>
  </si>
  <si>
    <t>Block Grant - Phys Plant 21-22</t>
  </si>
  <si>
    <t>Block Grant - Phys Plant 22-23</t>
  </si>
  <si>
    <t>Block Grant-Physic Plant 23-24</t>
  </si>
  <si>
    <t>Covid 19 Recovery Block Grant</t>
  </si>
  <si>
    <t>Guided Pathways Allocation</t>
  </si>
  <si>
    <t>Student Succ Completion Grant</t>
  </si>
  <si>
    <t>Immed Action-Emrgncy Fin Assis</t>
  </si>
  <si>
    <t>Immed Action-Retention/Outreac</t>
  </si>
  <si>
    <t>SFRF Emergency Financial Aid</t>
  </si>
  <si>
    <t>Chafee Grant</t>
  </si>
  <si>
    <t>Cal Grant C</t>
  </si>
  <si>
    <t>CARE</t>
  </si>
  <si>
    <t>Rising Scholars Network 2.0</t>
  </si>
  <si>
    <t>Rising Scholars - Juvenile Jus</t>
  </si>
  <si>
    <t>Lottery</t>
  </si>
  <si>
    <t>Education Protection Acct(EPA)</t>
  </si>
  <si>
    <t>Facility Rental Income</t>
  </si>
  <si>
    <t>Library Services Platform</t>
  </si>
  <si>
    <t>Classified Prof Devlp</t>
  </si>
  <si>
    <t>Cultural Competent Faculty PD</t>
  </si>
  <si>
    <t>Culturally Respnse Pedag Pract</t>
  </si>
  <si>
    <t>EEO Best Practices</t>
  </si>
  <si>
    <t>Equal Employment Opportunity</t>
  </si>
  <si>
    <t>Puente Project - State</t>
  </si>
  <si>
    <t>Systemwide Tech Data Security</t>
  </si>
  <si>
    <t>Full-time Faculty Restricted</t>
  </si>
  <si>
    <t>Rebuilding Nursing Infrastruct</t>
  </si>
  <si>
    <t>Nursing Retention-Assoc Degree</t>
  </si>
  <si>
    <t>Nursing Faculty and Recruitmen</t>
  </si>
  <si>
    <t>Adult Education Block Grant</t>
  </si>
  <si>
    <t>Adult Education Block Grant Y2</t>
  </si>
  <si>
    <t>Healthcare Vocation - Adult Ed</t>
  </si>
  <si>
    <t>B.O.G. Administration</t>
  </si>
  <si>
    <t>California College Promise</t>
  </si>
  <si>
    <t>Strong Workforce Local - Yr3</t>
  </si>
  <si>
    <t>Strong Workforce Local - Yr2</t>
  </si>
  <si>
    <t>Strong Workforce Local - Yr1</t>
  </si>
  <si>
    <t>Strong Workforce Regional -Yr1</t>
  </si>
  <si>
    <t>Strong Workforce Regional -Yr2</t>
  </si>
  <si>
    <t>Strong Workforce Regional -Yr3</t>
  </si>
  <si>
    <t>SWF Regional-RJV Nursing R6 Y3</t>
  </si>
  <si>
    <t>Strong Workforce K12 SJUSD</t>
  </si>
  <si>
    <t>Strong Workfrc K-12 R6</t>
  </si>
  <si>
    <t>College Specific Allocation</t>
  </si>
  <si>
    <t>SWF Regionl RJV Bayarea Cr R10</t>
  </si>
  <si>
    <t>SVETP (SV Eng Tech PW)</t>
  </si>
  <si>
    <t>Campus Safety &amp; Sexual Assault</t>
  </si>
  <si>
    <t>Cal Pathway to Law</t>
  </si>
  <si>
    <t>FCCC Program Pathway Mapper</t>
  </si>
  <si>
    <t>Mental Health Support Funds</t>
  </si>
  <si>
    <t>Program Contingency</t>
  </si>
  <si>
    <t>Contributions/Gifts/Endowments</t>
  </si>
  <si>
    <t>LiveScan Fingerprinting</t>
  </si>
  <si>
    <t>Copier Lease - Ricoh</t>
  </si>
  <si>
    <t>Other Library Fees</t>
  </si>
  <si>
    <t>Interest</t>
  </si>
  <si>
    <t>Uncollectible Student A/R</t>
  </si>
  <si>
    <t>Demo Locker Rms, Aux, Site Imp</t>
  </si>
  <si>
    <t>Group II Equipment</t>
  </si>
  <si>
    <t>Management and Related Costs</t>
  </si>
  <si>
    <t>Election/Legal/EIR/DO Labor</t>
  </si>
  <si>
    <t>New Maint &amp; Ops &amp; Emrgcy Cntr</t>
  </si>
  <si>
    <t>Theater Improvements</t>
  </si>
  <si>
    <t>Career Education Complex</t>
  </si>
  <si>
    <t>New Swing Space Project</t>
  </si>
  <si>
    <t>Science Bldg Mechanical Upgrd</t>
  </si>
  <si>
    <t>ADA Improvements</t>
  </si>
  <si>
    <t>Child Dvlpmnt Center-Phase I</t>
  </si>
  <si>
    <t>Student Center Improvements</t>
  </si>
  <si>
    <t>Jaguar Multicultural Center</t>
  </si>
  <si>
    <t>Track &amp; Field Renovation</t>
  </si>
  <si>
    <t>Central Plant Renovation</t>
  </si>
  <si>
    <t>SJCC Elevator Mondernization</t>
  </si>
  <si>
    <t>Central Plant Boiler Replaceme</t>
  </si>
  <si>
    <t>Strategic Energy Inn (SEI)</t>
  </si>
  <si>
    <t>Men's Locker Room Demolition</t>
  </si>
  <si>
    <t>Demolition of Old Boiler Equip</t>
  </si>
  <si>
    <t>Stormwater Management-Phase2</t>
  </si>
  <si>
    <t>GE Building FireAlarm Sys.Upgr</t>
  </si>
  <si>
    <t>CampusPerimeterSecurity Fen&amp;Ga</t>
  </si>
  <si>
    <t>Campus Wayfinding&amp;Signage Upda</t>
  </si>
  <si>
    <t>Scoreboard Replacement</t>
  </si>
  <si>
    <t>Campus-wide Painting Phase 2</t>
  </si>
  <si>
    <t>Campus Contingency - SJCC</t>
  </si>
  <si>
    <t>Parking Fines</t>
  </si>
  <si>
    <t>Small Capital Repairs</t>
  </si>
  <si>
    <t>SJCC Vehicles</t>
  </si>
  <si>
    <t>Access, Alarms, Monitoring Sys</t>
  </si>
  <si>
    <t>Small Cap Repairs - Fac Upgrds</t>
  </si>
  <si>
    <t>Material Fees</t>
  </si>
  <si>
    <t>Cosmetology Patron Fees</t>
  </si>
  <si>
    <t>Health Service Fees</t>
  </si>
  <si>
    <t>Int'l Student Health Fee</t>
  </si>
  <si>
    <t>International Student Revenue</t>
  </si>
  <si>
    <t>United Way Bay Area (UWBA)</t>
  </si>
  <si>
    <t>CalEITC (UWBA)</t>
  </si>
  <si>
    <t>Sobrato Family Fdtn Microgrant</t>
  </si>
  <si>
    <t>Sobrato Family Foundation</t>
  </si>
  <si>
    <t>Kaiser Permanente Benefits</t>
  </si>
  <si>
    <t>Takeoff: A Men of Color Innov.</t>
  </si>
  <si>
    <t>IT Infrastructure Improvements</t>
  </si>
  <si>
    <t>Technology Upgrades</t>
  </si>
  <si>
    <t>IT and Tech Equipment - SJCC</t>
  </si>
  <si>
    <t>EVC Vehicles</t>
  </si>
  <si>
    <t>Gullo Stu Spc Rprps/Renovate</t>
  </si>
  <si>
    <t>PE Accessibility Improvements</t>
  </si>
  <si>
    <t>PE ADA Improvements</t>
  </si>
  <si>
    <t>Student Services Center</t>
  </si>
  <si>
    <t>Language Arts Building</t>
  </si>
  <si>
    <t>Kinesiology, PE &amp; Aquatics</t>
  </si>
  <si>
    <t>Gullo II Multi Campus Space</t>
  </si>
  <si>
    <t>Sequoia Upgrades/Nursing Add</t>
  </si>
  <si>
    <t>A&amp;R Remodel to Emergency Ops.</t>
  </si>
  <si>
    <t>Cedro Renovation&amp;W.Campus ADA</t>
  </si>
  <si>
    <t>General Education Building</t>
  </si>
  <si>
    <t>Student Activities Center</t>
  </si>
  <si>
    <t>Campus Way Finding/Ground Ligh</t>
  </si>
  <si>
    <t>North Fire Lane/ADA</t>
  </si>
  <si>
    <t>Campus-wide Building Signage</t>
  </si>
  <si>
    <t>Math,Sci,Social Sci Canopy</t>
  </si>
  <si>
    <t>Entry Road and Parking Lot</t>
  </si>
  <si>
    <t>Campus-wide FFE</t>
  </si>
  <si>
    <t>Campus-wide Signage MasterPlan</t>
  </si>
  <si>
    <t>EVC-Central Plant Renovation</t>
  </si>
  <si>
    <t>Campus Contingency - EVC</t>
  </si>
  <si>
    <t>Student Representative Fee</t>
  </si>
  <si>
    <t>Soccer Field Fence Upgrades</t>
  </si>
  <si>
    <t>Gene Haas Foundation</t>
  </si>
  <si>
    <t>Internal Scholarships Foundati</t>
  </si>
  <si>
    <t>Internal Scholarships ASB</t>
  </si>
  <si>
    <t>External Scholarships</t>
  </si>
  <si>
    <t>SC Cnty Office of ReEntry Svs</t>
  </si>
  <si>
    <t>SC County COD Training</t>
  </si>
  <si>
    <t>SC Cnty URJGENT Computer CEM</t>
  </si>
  <si>
    <t>Educational Orientation Window</t>
  </si>
  <si>
    <t>Execelencia in Education</t>
  </si>
  <si>
    <t>WTIA Workforce Institute</t>
  </si>
  <si>
    <t>Local Direct Loan</t>
  </si>
  <si>
    <t>IT &amp; Tech Equipment - EVC</t>
  </si>
  <si>
    <t>UC Regents Puente Project</t>
  </si>
  <si>
    <t>UCSD Space Grant Consortium</t>
  </si>
  <si>
    <t>SJSURF Regional K-16 Educ Coll</t>
  </si>
  <si>
    <t>Pouring Rights Contract</t>
  </si>
  <si>
    <t>Arches Grants</t>
  </si>
  <si>
    <t>Pure Good Fndn Workforce Dev</t>
  </si>
  <si>
    <t>Growth Sector</t>
  </si>
  <si>
    <t>SV Com Fdn Higher Ed Anchor NW</t>
  </si>
  <si>
    <t>SVCF Equity Forward Anchor NW</t>
  </si>
  <si>
    <t>SVCF EFAN Operation</t>
  </si>
  <si>
    <t>Dorothy D. Rupe Nursing</t>
  </si>
  <si>
    <t>YESS - Foster Youth</t>
  </si>
  <si>
    <t>JBAY Critical Needs Funds Prog</t>
  </si>
  <si>
    <t>Equity Forward Anchor</t>
  </si>
  <si>
    <t>FCCC Shortened Course Offering</t>
  </si>
  <si>
    <t>Dual Enrollment</t>
  </si>
  <si>
    <t>San Jose Promise Local</t>
  </si>
  <si>
    <t>San Jose Promise Local -EBAY</t>
  </si>
  <si>
    <t>Stanford Health Care</t>
  </si>
  <si>
    <t>Parking Infrastructure</t>
  </si>
  <si>
    <t>Transportation Fee</t>
  </si>
  <si>
    <t xml:space="preserve">ChargePoint	</t>
  </si>
  <si>
    <t>Parent Academy</t>
  </si>
  <si>
    <t>Eggo Company Apprenticeship</t>
  </si>
  <si>
    <t>Athletic Playoffs</t>
  </si>
  <si>
    <t>Transcript Revenue</t>
  </si>
  <si>
    <t>Student ID Revenue</t>
  </si>
  <si>
    <t>New District Services Building</t>
  </si>
  <si>
    <t>District Services Furn &amp; Equip</t>
  </si>
  <si>
    <t>Vehicle Replacement</t>
  </si>
  <si>
    <t>ADA Transition Plan Assessment</t>
  </si>
  <si>
    <t>DO Elevator Upgrade</t>
  </si>
  <si>
    <t>District/DW Contingency</t>
  </si>
  <si>
    <t>Ground Lease Debt Relief</t>
  </si>
  <si>
    <t>District WH&amp;Operations Facilit</t>
  </si>
  <si>
    <t>East San Jose Expansion</t>
  </si>
  <si>
    <t>EVC Student Housing Complex</t>
  </si>
  <si>
    <t>District Utility Capacity Upgr</t>
  </si>
  <si>
    <t>Technology/Security</t>
  </si>
  <si>
    <t>DS Printing &amp; Digital Imaging</t>
  </si>
  <si>
    <t>DS Computer Replacement</t>
  </si>
  <si>
    <t>DS Network Storage/Servers</t>
  </si>
  <si>
    <t>DS Network Monitoring Appl's</t>
  </si>
  <si>
    <t>DW Security-Key Sys Upgrade</t>
  </si>
  <si>
    <t>DW Building Managment Sys</t>
  </si>
  <si>
    <t>Data Center Acquisition &amp; Impl</t>
  </si>
  <si>
    <t>DW Physical Security</t>
  </si>
  <si>
    <t>Innovation Fund</t>
  </si>
  <si>
    <t>Non-Bond Admin Overhead</t>
  </si>
  <si>
    <t>Redesign</t>
  </si>
  <si>
    <t>Indirect Costs</t>
  </si>
  <si>
    <t>A/P Voluntary Deductions</t>
  </si>
  <si>
    <t>EVC Campus Modern-General</t>
  </si>
  <si>
    <t>DW Scheduled Maintenance</t>
  </si>
  <si>
    <t>MUSD Shared Expenses</t>
  </si>
  <si>
    <t>EVC Surplus Land Development</t>
  </si>
  <si>
    <t>DO Infrastructure Upgrade</t>
  </si>
  <si>
    <t>East Side</t>
  </si>
  <si>
    <t>Higher Edu Stu. Housing 2022</t>
  </si>
  <si>
    <t>EVC Upgrade Soccer Turf</t>
  </si>
  <si>
    <t>Downtown SJ Beautification</t>
  </si>
  <si>
    <t>Employment Services</t>
  </si>
  <si>
    <t>Medical Broker</t>
  </si>
  <si>
    <t>Flexible Spending Acct</t>
  </si>
  <si>
    <t>Benefit Administration</t>
  </si>
  <si>
    <t>Release Time</t>
  </si>
  <si>
    <t>OSHA</t>
  </si>
  <si>
    <t>Legal Expns. for  Negotiations</t>
  </si>
  <si>
    <t>Management Training</t>
  </si>
  <si>
    <t>Rebates</t>
  </si>
  <si>
    <t>Community Outreach Activities</t>
  </si>
  <si>
    <t>Student Support Services</t>
  </si>
  <si>
    <t>Cal Grant B</t>
  </si>
  <si>
    <t>AB 1725 Staff Diversity</t>
  </si>
  <si>
    <t>Bonds Payable</t>
  </si>
  <si>
    <t>Construction in Progress</t>
  </si>
  <si>
    <t>OBJECT</t>
  </si>
  <si>
    <t>Cash</t>
  </si>
  <si>
    <t>Petty Cash</t>
  </si>
  <si>
    <t>Cash (Due To)/Due From Other Funds</t>
  </si>
  <si>
    <t>Investments</t>
  </si>
  <si>
    <t>Student Receivables</t>
  </si>
  <si>
    <t>Receivables Non-Students</t>
  </si>
  <si>
    <t>CARES ACT- ER COVID</t>
  </si>
  <si>
    <t>Amount to be Provided</t>
  </si>
  <si>
    <t>Amount to be Provided - Trustees</t>
  </si>
  <si>
    <t>Amounts Avail. - Debt Serv Fund</t>
  </si>
  <si>
    <t>G.O. Bonds Series D</t>
  </si>
  <si>
    <t>Prepaid Expenses</t>
  </si>
  <si>
    <t>Prepaid Expenses_Credit Card</t>
  </si>
  <si>
    <t>Prepaid Expenses_Ldge Crd Citi</t>
  </si>
  <si>
    <t>Land</t>
  </si>
  <si>
    <t>Land Improvements</t>
  </si>
  <si>
    <t>Buildings</t>
  </si>
  <si>
    <t>Fixed Assets - Equipment</t>
  </si>
  <si>
    <t>Salaries Payable Stale Dated</t>
  </si>
  <si>
    <t>Vacation Liability</t>
  </si>
  <si>
    <t>Sales and Use Tax</t>
  </si>
  <si>
    <t>Compensatory Time Payable</t>
  </si>
  <si>
    <t>Banked Overload</t>
  </si>
  <si>
    <t>A/P Deferred Pay</t>
  </si>
  <si>
    <t>Medicare payable</t>
  </si>
  <si>
    <t>STRS Payable</t>
  </si>
  <si>
    <t>PERS Payable</t>
  </si>
  <si>
    <t>FIT Payable</t>
  </si>
  <si>
    <t>SIT Payable</t>
  </si>
  <si>
    <t>Workmens' Comp Payable</t>
  </si>
  <si>
    <t>SUI Payable</t>
  </si>
  <si>
    <t>Security Deposits</t>
  </si>
  <si>
    <t>H&amp;W - Dental &amp; Vision Benefits</t>
  </si>
  <si>
    <t>H&amp;W - Medical, Life Ins., etc.</t>
  </si>
  <si>
    <t>Pension Payable / GASB 68</t>
  </si>
  <si>
    <t>Deferred Income</t>
  </si>
  <si>
    <t>Deferred Bond Premiums</t>
  </si>
  <si>
    <t>Bonds Accrued Interest Payable</t>
  </si>
  <si>
    <t>Deferred Bond Refunding</t>
  </si>
  <si>
    <t>G.O. Bonds Payable</t>
  </si>
  <si>
    <t>L/T Retirees Liability</t>
  </si>
  <si>
    <t>Accrued Expenses</t>
  </si>
  <si>
    <t>Fixed Asset Equity</t>
  </si>
  <si>
    <t>Unrestricted Fund Balances</t>
  </si>
  <si>
    <t>Restricted Fund Balances</t>
  </si>
  <si>
    <t>Prior Year Correct/Restatement</t>
  </si>
  <si>
    <t>Title III Grant</t>
  </si>
  <si>
    <t>Federal Work Study</t>
  </si>
  <si>
    <t>PELL Grant</t>
  </si>
  <si>
    <t>PELL Admin. Allowance</t>
  </si>
  <si>
    <t>CARES Higher Ed Emgy Rlf</t>
  </si>
  <si>
    <t>Veteran Admin. Support</t>
  </si>
  <si>
    <t>VTEA Title I C</t>
  </si>
  <si>
    <t>Federal Grants</t>
  </si>
  <si>
    <t>Other Federal Revenue</t>
  </si>
  <si>
    <t>Federal MAA Program Revenue</t>
  </si>
  <si>
    <t>State Revenue</t>
  </si>
  <si>
    <t>GA Apportionment (onetime)</t>
  </si>
  <si>
    <t>B.O.G. (2% Admin. Fee)</t>
  </si>
  <si>
    <t>Nursing Grants</t>
  </si>
  <si>
    <t>Disabled Students Apportionment</t>
  </si>
  <si>
    <t>SFAA-BFAP</t>
  </si>
  <si>
    <t>Other Categorical Programs</t>
  </si>
  <si>
    <t>Calworks</t>
  </si>
  <si>
    <t>Economic &amp; Development Grant</t>
  </si>
  <si>
    <t>Career Tech Ed Grant</t>
  </si>
  <si>
    <t>Other Categorical</t>
  </si>
  <si>
    <t>Secured Homeowners Exempt</t>
  </si>
  <si>
    <t>Other State Income</t>
  </si>
  <si>
    <t>Mandated Cost Reimbursement</t>
  </si>
  <si>
    <t>State Lottery</t>
  </si>
  <si>
    <t>State Reimb Costs</t>
  </si>
  <si>
    <t>Secured Property Tax Revenues</t>
  </si>
  <si>
    <t>Supplemental Secured Prop. Tax</t>
  </si>
  <si>
    <t>Unsecured Roll Property Taxes</t>
  </si>
  <si>
    <t>RDA Passthru(AB1290)(47.5%)</t>
  </si>
  <si>
    <t>RDA Residual Pmts</t>
  </si>
  <si>
    <t>Scholarships</t>
  </si>
  <si>
    <t>Contract Classes &amp; Premiums Other Funds</t>
  </si>
  <si>
    <t>Retail Center Lease Revenue</t>
  </si>
  <si>
    <t>Dividend Income</t>
  </si>
  <si>
    <t>Other Investment Income</t>
  </si>
  <si>
    <t>Realized Gain/(Losses)</t>
  </si>
  <si>
    <t>Unrealized Apprec(Deprec)</t>
  </si>
  <si>
    <t>Contra Revenue Account</t>
  </si>
  <si>
    <t>Instructional Materials Fees</t>
  </si>
  <si>
    <t>Enrollment Fees Intl Students</t>
  </si>
  <si>
    <t>Enrollment Fees Residents</t>
  </si>
  <si>
    <t>Use of Facilities</t>
  </si>
  <si>
    <t>Student Representation Fees</t>
  </si>
  <si>
    <t>Health Fees</t>
  </si>
  <si>
    <t>Enrollment Fees Non-Residents</t>
  </si>
  <si>
    <t>Parking Fees</t>
  </si>
  <si>
    <t>Capital Outlay Fees</t>
  </si>
  <si>
    <t>Other Local Income</t>
  </si>
  <si>
    <t>Returned Checks</t>
  </si>
  <si>
    <t>Sale Of Equipment</t>
  </si>
  <si>
    <t>Sale Of Waste Materials</t>
  </si>
  <si>
    <t>Sale Of Bonds</t>
  </si>
  <si>
    <t>Interfund Trans In (10 fr 19)</t>
  </si>
  <si>
    <t>Interfund F36 fr F15</t>
  </si>
  <si>
    <t>Interfund F15 fr F36</t>
  </si>
  <si>
    <t>Interfund Trans In (13 fr 10)</t>
  </si>
  <si>
    <t>Interfund Trans In (19 fr 10)</t>
  </si>
  <si>
    <t>Interfund Trans In (18 fr 17)</t>
  </si>
  <si>
    <t>Interfund Trans In (15 fr 17)</t>
  </si>
  <si>
    <t>Interfund Trans In (70 fr 10)</t>
  </si>
  <si>
    <t>Interfund Trans In (85 fr 81)</t>
  </si>
  <si>
    <t>Interfnd Trs In (FA Matching)</t>
  </si>
  <si>
    <t>Interfnd Trsf In (Indir. Cost)</t>
  </si>
  <si>
    <t>Interfund Trans In (48 fr 17)</t>
  </si>
  <si>
    <t>Interfund Trans In (10 fr 12)</t>
  </si>
  <si>
    <t>Interfund Trans In (10 fr 18)</t>
  </si>
  <si>
    <t>Interfund Trans In (10 fr 15)</t>
  </si>
  <si>
    <t>Interfund Trans In (17 fr 10)</t>
  </si>
  <si>
    <t>Interfund Trans In (36 fr 10)</t>
  </si>
  <si>
    <t>Interfund Trans In (16 fr 10)</t>
  </si>
  <si>
    <t>Interfund Trans In (11 fr 10)</t>
  </si>
  <si>
    <t>Interfund Transfer In -from 10</t>
  </si>
  <si>
    <t>Interfund Trans In (10 fr 16)</t>
  </si>
  <si>
    <t>Interfund Trans In (81 fr 75)</t>
  </si>
  <si>
    <t>Interfund Trans In (85 fr 10)</t>
  </si>
  <si>
    <t>Interfund Trans In (10 fr 17)</t>
  </si>
  <si>
    <t>Regular Classroom - Unit</t>
  </si>
  <si>
    <t>Sabbaticals - Reg Classroom</t>
  </si>
  <si>
    <t>Other Contract Salaries - Unit</t>
  </si>
  <si>
    <t>Sabbaticals-Oth Contract Sal</t>
  </si>
  <si>
    <t>Contra</t>
  </si>
  <si>
    <t>Hourly Instr - Day</t>
  </si>
  <si>
    <t>Hourly Instr - Short-Term</t>
  </si>
  <si>
    <t>Hourly Instr - Smr Session</t>
  </si>
  <si>
    <t>Hourly Instr - Substitutes</t>
  </si>
  <si>
    <t>Hrly Cert Sal-Non Teach</t>
  </si>
  <si>
    <t>Contra-Cert. Hrly. Non-Instr.</t>
  </si>
  <si>
    <t>Reg, Other Than Instruction - Un</t>
  </si>
  <si>
    <t>Regular, Professional Growth</t>
  </si>
  <si>
    <t>Admin. Costs Fed'l Programs</t>
  </si>
  <si>
    <t>Classified Managers Non Instru</t>
  </si>
  <si>
    <t>Classified Supervisors Non Ins</t>
  </si>
  <si>
    <t>Confidential Employees Non Ins</t>
  </si>
  <si>
    <t>Classified Sabbatical</t>
  </si>
  <si>
    <t>Classified Contra</t>
  </si>
  <si>
    <t>Instructional Aide -Classified</t>
  </si>
  <si>
    <t>Inst Aide, Professional Growth</t>
  </si>
  <si>
    <t>Hrly, Other Than Instruction</t>
  </si>
  <si>
    <t>Short Courses</t>
  </si>
  <si>
    <t>Student Assistants (Non-Inst)</t>
  </si>
  <si>
    <t>Substitutes</t>
  </si>
  <si>
    <t>Overtime</t>
  </si>
  <si>
    <t>Contra Acc't, Hrly Non-Instr</t>
  </si>
  <si>
    <t>Hrly, Instructional Aide</t>
  </si>
  <si>
    <t>Hrly, Instructional Tutors</t>
  </si>
  <si>
    <t>Hrly Substitute, Instruct. Aid</t>
  </si>
  <si>
    <t>Instructional Overtime</t>
  </si>
  <si>
    <t>STRS</t>
  </si>
  <si>
    <t>State STRS On-Behalf Payment</t>
  </si>
  <si>
    <t>STRS Non-Instructional</t>
  </si>
  <si>
    <t>STRS Contra</t>
  </si>
  <si>
    <t>PERS Inst Aides</t>
  </si>
  <si>
    <t>PERS Reg Classified</t>
  </si>
  <si>
    <t>PERS Contra</t>
  </si>
  <si>
    <t>OASDI Certif/Instr Aide</t>
  </si>
  <si>
    <t>OASDI-Class/Non-Instr Cert.</t>
  </si>
  <si>
    <t>OASDI-Contra</t>
  </si>
  <si>
    <t>H &amp; W - Instruction</t>
  </si>
  <si>
    <t>H &amp; W - Non-Instruction</t>
  </si>
  <si>
    <t>H &amp; W clearing</t>
  </si>
  <si>
    <t>Unemp Insur - Instruction</t>
  </si>
  <si>
    <t>Unemp Insur - Non-Instruction</t>
  </si>
  <si>
    <t>Unemp Insur Clearing</t>
  </si>
  <si>
    <t>Workers' Comp - Instr</t>
  </si>
  <si>
    <t>Workers' Comp - Non-Instr</t>
  </si>
  <si>
    <t>Workers' Comp clearing</t>
  </si>
  <si>
    <t>Retiree Benefit - Inst</t>
  </si>
  <si>
    <t>Retiree Benefit - Non-Inst</t>
  </si>
  <si>
    <t>Retiree Benefit - APPLE - Inst</t>
  </si>
  <si>
    <t>Retiree Benefit - APPLE -NInst</t>
  </si>
  <si>
    <t>Supplies Instruction</t>
  </si>
  <si>
    <t>Software Instruction Over $200</t>
  </si>
  <si>
    <t>Contra Account Instruct Matl</t>
  </si>
  <si>
    <t>Supplies Non-Instruction</t>
  </si>
  <si>
    <t>Food &amp; Food Suply - Non-Instr</t>
  </si>
  <si>
    <t>Software Non-Instruc Over $200</t>
  </si>
  <si>
    <t>Copier Supplies</t>
  </si>
  <si>
    <t>Contra Account</t>
  </si>
  <si>
    <t>Personal/Contract Services</t>
  </si>
  <si>
    <t>License Renewal Instruction</t>
  </si>
  <si>
    <t>License Renewal Non-Instruct</t>
  </si>
  <si>
    <t>Contracts/Personal Services</t>
  </si>
  <si>
    <t>Conference\Travel\Training</t>
  </si>
  <si>
    <t>Field Trips/Excursions</t>
  </si>
  <si>
    <t>Memberships</t>
  </si>
  <si>
    <t>Mileage/Toll/Taxi/Park</t>
  </si>
  <si>
    <t>Board Meeting Expenses</t>
  </si>
  <si>
    <t>Insurances</t>
  </si>
  <si>
    <t>Self Insurance (Dental)</t>
  </si>
  <si>
    <t>Self Insurance (Vision)</t>
  </si>
  <si>
    <t>Self Insurance (Construction)</t>
  </si>
  <si>
    <t>Telephone</t>
  </si>
  <si>
    <t>Gas</t>
  </si>
  <si>
    <t>Electricity</t>
  </si>
  <si>
    <t>Electricity Rebate</t>
  </si>
  <si>
    <t>Water/Sewer</t>
  </si>
  <si>
    <t>Garbage</t>
  </si>
  <si>
    <t>Fuel/Oil</t>
  </si>
  <si>
    <t>Uniforms</t>
  </si>
  <si>
    <t>Contra - Utilities</t>
  </si>
  <si>
    <t>Rentals/Leases/PropTax</t>
  </si>
  <si>
    <t>Repairs</t>
  </si>
  <si>
    <t>Preventative Maintenance Agree</t>
  </si>
  <si>
    <t>Facility Rental Contra</t>
  </si>
  <si>
    <t>Fees</t>
  </si>
  <si>
    <t>External Collection Fees</t>
  </si>
  <si>
    <t>Special Assessment Fee</t>
  </si>
  <si>
    <t>Advertising</t>
  </si>
  <si>
    <t>Legal Expenses</t>
  </si>
  <si>
    <t>Audit Expense</t>
  </si>
  <si>
    <t>Board Election Expense</t>
  </si>
  <si>
    <t>Printing/Reprographics Expense</t>
  </si>
  <si>
    <t>CCC/Plan Check Fees</t>
  </si>
  <si>
    <t>LEED Expenses</t>
  </si>
  <si>
    <t>Moving &amp; Equipment</t>
  </si>
  <si>
    <t>Other Operating - Contra</t>
  </si>
  <si>
    <t>Misc Operating Costs</t>
  </si>
  <si>
    <t>Postage</t>
  </si>
  <si>
    <t>Undistributed Funded Programs</t>
  </si>
  <si>
    <t>Other Operating Expense</t>
  </si>
  <si>
    <t>Bank Charges</t>
  </si>
  <si>
    <t>Bad Debt Write Off</t>
  </si>
  <si>
    <t>Indirect Cost</t>
  </si>
  <si>
    <t>Cash Over / Short ( Fees )</t>
  </si>
  <si>
    <t>Board Communications Reimburse</t>
  </si>
  <si>
    <t>Loan Cost of Issuance (TRANS)</t>
  </si>
  <si>
    <t>Architect &amp; Engineer.</t>
  </si>
  <si>
    <t>Inspection - IOR</t>
  </si>
  <si>
    <t>Testing</t>
  </si>
  <si>
    <t>DSA-Div of State Architect</t>
  </si>
  <si>
    <t>Const. Management Services</t>
  </si>
  <si>
    <t>Program Management</t>
  </si>
  <si>
    <t>Overhead Expenses</t>
  </si>
  <si>
    <t>Library Textbooks</t>
  </si>
  <si>
    <t>Electronic Books</t>
  </si>
  <si>
    <t>Equipment ($200 to $20,000)</t>
  </si>
  <si>
    <t>Capitalizable Eqpt - 3 yr life</t>
  </si>
  <si>
    <t>Capitalizable Eqpt - 8 yr life</t>
  </si>
  <si>
    <t>Bond Redemption</t>
  </si>
  <si>
    <t>Bond Interest Charges</t>
  </si>
  <si>
    <t>Other Payment</t>
  </si>
  <si>
    <t>Interfund Transfers Out</t>
  </si>
  <si>
    <t>Interfund Trans Out (10 to 17)</t>
  </si>
  <si>
    <t>Interfund Trans Out (10 to 36)</t>
  </si>
  <si>
    <t>Interfund Trans Out (10 to 16)</t>
  </si>
  <si>
    <t>Interfund Trans Out (10 to 11)</t>
  </si>
  <si>
    <t>Interfund Transfer Out - to 61</t>
  </si>
  <si>
    <t>Interfnd Trs Out (FA Matching)</t>
  </si>
  <si>
    <t>Interfnd Trs Out (Indir. Cost)</t>
  </si>
  <si>
    <t>Interfund Trans Out (10 to 12)</t>
  </si>
  <si>
    <t>Interfund Transfers (10 to 18)</t>
  </si>
  <si>
    <t>Interfund Trans Out (75 to 81)</t>
  </si>
  <si>
    <t>Interfund Trans Out (10 to 85)</t>
  </si>
  <si>
    <t>Interfund Trans Out (17 to 10)</t>
  </si>
  <si>
    <t>Interfund Trans Out (81 to 85)</t>
  </si>
  <si>
    <t>Interfund Trans Out (17 to 48)</t>
  </si>
  <si>
    <t>Interfund Trans Out (10 to 70)</t>
  </si>
  <si>
    <t>Interfund Trans Out (17 to 15)</t>
  </si>
  <si>
    <t>Interfund Trans Out (17 to 18)</t>
  </si>
  <si>
    <t>Interfund Trans Out (10 to 96)</t>
  </si>
  <si>
    <t>Interfund Trans Out (10 to 19)</t>
  </si>
  <si>
    <t>Interfund Trans Out (10 to 13)</t>
  </si>
  <si>
    <t>Interfund F15 to F36</t>
  </si>
  <si>
    <t>Interfund F36 to F15</t>
  </si>
  <si>
    <t>Student Financial Aid</t>
  </si>
  <si>
    <t>C.A.R.E. Grant</t>
  </si>
  <si>
    <t>Cal Grant A</t>
  </si>
  <si>
    <t>AB540 Student Payments</t>
  </si>
  <si>
    <t>Other Student Payments</t>
  </si>
  <si>
    <t>Other Payments to/for Students</t>
  </si>
  <si>
    <t>Appropriations For Contingencies</t>
  </si>
  <si>
    <t>Contingency</t>
  </si>
  <si>
    <t>Contra Appropriation</t>
  </si>
  <si>
    <t>COST CENTER</t>
  </si>
  <si>
    <t>FUND (SJECCD)</t>
  </si>
  <si>
    <t>FUND (BAM)</t>
  </si>
  <si>
    <t>General Funds</t>
  </si>
  <si>
    <t>Restricted Funds</t>
  </si>
  <si>
    <t>Enterprise Funds</t>
  </si>
  <si>
    <t>Capital/Bond Funds (Active)</t>
  </si>
  <si>
    <t>Internal Service Fund</t>
  </si>
  <si>
    <t>OPEB Related Funds</t>
  </si>
  <si>
    <t>Fiduciary Funds</t>
  </si>
  <si>
    <t>Column1</t>
  </si>
  <si>
    <t>Column2</t>
  </si>
  <si>
    <t>Other Category Funds</t>
  </si>
  <si>
    <t>CARES ACT HigherEd Emgy Rlf</t>
  </si>
  <si>
    <t>Student Housing (Planning)</t>
  </si>
  <si>
    <t>Asian Amer HI Pcfc Islnd Stud</t>
  </si>
  <si>
    <t>IEPI Innovation&amp;Effectiveness</t>
  </si>
  <si>
    <t>Year 2 Basic Skills</t>
  </si>
  <si>
    <t>Cal Grant</t>
  </si>
  <si>
    <t>Emergency F.A. Supplement</t>
  </si>
  <si>
    <t>Juvenile Center</t>
  </si>
  <si>
    <t>Restroom Fixtures &amp; Plumbing</t>
  </si>
  <si>
    <t>Google Program</t>
  </si>
  <si>
    <t>Security Assess&amp;Dsgn Consult</t>
  </si>
  <si>
    <t>Mgmt Contract Salaries</t>
  </si>
  <si>
    <t>Printing/Repro</t>
  </si>
  <si>
    <t>10</t>
  </si>
  <si>
    <t>12</t>
  </si>
  <si>
    <t>14</t>
  </si>
  <si>
    <t>15</t>
  </si>
  <si>
    <t>19</t>
  </si>
  <si>
    <t>11</t>
  </si>
  <si>
    <t>13</t>
  </si>
  <si>
    <t>17</t>
  </si>
  <si>
    <t>18</t>
  </si>
  <si>
    <t>16</t>
  </si>
  <si>
    <t>36</t>
  </si>
  <si>
    <t>40</t>
  </si>
  <si>
    <t>41</t>
  </si>
  <si>
    <t>42</t>
  </si>
  <si>
    <t>43</t>
  </si>
  <si>
    <t>44</t>
  </si>
  <si>
    <t>45</t>
  </si>
  <si>
    <t>46</t>
  </si>
  <si>
    <t>47</t>
  </si>
  <si>
    <t>33</t>
  </si>
  <si>
    <t>70</t>
  </si>
  <si>
    <t>61</t>
  </si>
  <si>
    <t>48</t>
  </si>
  <si>
    <t>96</t>
  </si>
  <si>
    <t>71</t>
  </si>
  <si>
    <t>72</t>
  </si>
  <si>
    <t>75</t>
  </si>
  <si>
    <t>85</t>
  </si>
  <si>
    <t>81</t>
  </si>
  <si>
    <t>80</t>
  </si>
  <si>
    <t>94</t>
  </si>
  <si>
    <t>99</t>
  </si>
  <si>
    <t>DESCRIPTION</t>
  </si>
  <si>
    <t>00000</t>
  </si>
  <si>
    <t>00001</t>
  </si>
  <si>
    <t>Psychology</t>
  </si>
  <si>
    <t>Credit for Prior Learning-Onetime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</si>
</sst>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sz val="12"/>
      <name val="Aptos Display"/>
      <family val="2"/>
      <scheme val="major"/>
    </font>
    <font>
      <sz val="11"/>
      <name val="Aptos Display"/>
      <family val="2"/>
      <scheme val="major"/>
    </font>
    <font>
      <b/>
      <sz val="12"/>
      <name val="Aptos Display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8" fillId="33" borderId="0" xfId="0" applyFont="1" applyFill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20" fillId="0" borderId="0" xfId="0" applyFont="1" applyFill="1"/>
    <xf numFmtId="0" fontId="0" fillId="0" borderId="0" xfId="0" applyFill="1"/>
    <xf numFmtId="0" fontId="2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21" fillId="33" borderId="0" xfId="0" applyFont="1" applyFill="1"/>
    <xf numFmtId="0" fontId="23" fillId="0" borderId="10" xfId="0" applyFont="1" applyBorder="1"/>
    <xf numFmtId="0" fontId="23" fillId="0" borderId="0" xfId="0" applyFont="1" applyAlignment="1">
      <alignment horizontal="center" wrapText="1"/>
    </xf>
    <xf numFmtId="0" fontId="23" fillId="0" borderId="0" xfId="0" applyFont="1" applyBorder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21" fillId="0" borderId="0" xfId="0" applyFont="1" applyBorder="1"/>
    <xf numFmtId="0" fontId="23" fillId="0" borderId="0" xfId="0" applyFont="1"/>
    <xf numFmtId="0" fontId="23" fillId="0" borderId="0" xfId="0" applyFont="1" applyBorder="1"/>
    <xf numFmtId="0" fontId="21" fillId="0" borderId="0" xfId="0" quotePrefix="1" applyFont="1" applyAlignment="1">
      <alignment horizontal="center"/>
    </xf>
    <xf numFmtId="0" fontId="20" fillId="0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5">
    <dxf>
      <font>
        <strike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color auto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color auto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color auto="1"/>
        <name val="Aptos Display"/>
        <family val="2"/>
        <scheme val="maj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B3A9D8-929F-41FB-9E29-A4075E14B33D}" name="Table1" displayName="Table1" ref="A2:C43" totalsRowShown="0" headerRowDxfId="9" dataDxfId="8">
  <autoFilter ref="A2:C43" xr:uid="{A7B3A9D8-929F-41FB-9E29-A4075E14B33D}"/>
  <tableColumns count="3">
    <tableColumn id="1" xr3:uid="{0305F201-4B5F-4B9C-849E-AB9C360ECAE1}" name="FUND (BAM)" dataDxfId="12"/>
    <tableColumn id="2" xr3:uid="{C0634DD2-4E85-4166-8DED-AFDA178E1950}" name="FUND (SJECCD)" dataDxfId="11"/>
    <tableColumn id="3" xr3:uid="{90B9CB77-A61F-4827-B002-5BD75494E19C}" name="Description" dataDxfId="10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DDAC38-4D10-40D6-AC30-454219A14FC9}" name="Table2" displayName="Table2" ref="A1:B11" totalsRowShown="0" headerRowDxfId="7" dataDxfId="6">
  <autoFilter ref="A1:B11" xr:uid="{C8DDAC38-4D10-40D6-AC30-454219A14FC9}"/>
  <tableColumns count="2">
    <tableColumn id="1" xr3:uid="{B5010DA8-43C1-409B-A6FE-FEBE668FDAEE}" name="Column1" dataDxfId="5"/>
    <tableColumn id="2" xr3:uid="{45D046B2-A6D8-4D5B-93F6-9DD3E973A5BD}" name="Column2" dataDxfId="4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B4B71D9-DCBE-4042-9349-57A5BC0B38C0}" name="Table3" displayName="Table3" ref="A2:B642" totalsRowShown="0" headerRowDxfId="18" dataDxfId="17">
  <autoFilter ref="A2:B642" xr:uid="{1B4B71D9-DCBE-4042-9349-57A5BC0B38C0}"/>
  <tableColumns count="2">
    <tableColumn id="1" xr3:uid="{2D388298-F8D2-47C1-8DD1-85CA407D61E0}" name="COST CENTER" dataDxfId="20"/>
    <tableColumn id="2" xr3:uid="{2A534FC9-41B2-426F-BDD0-C721B56B3E6D}" name="Description" dataDxfId="19"/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80A6646-4F4A-40E0-93B3-0C11F5D84AC8}" name="Table9" displayName="Table9" ref="A2:B312" totalsRowShown="0" headerRowDxfId="1" dataDxfId="0">
  <autoFilter ref="A2:B312" xr:uid="{B80A6646-4F4A-40E0-93B3-0C11F5D84AC8}"/>
  <tableColumns count="2">
    <tableColumn id="1" xr3:uid="{1224DC47-E237-4EFD-99CE-1952694B09C1}" name="USER" dataDxfId="3"/>
    <tableColumn id="2" xr3:uid="{1473F110-47DE-4F02-B53A-564529801CE2}" name="DESCRIPTION" dataDxfId="2"/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9FAFD02-3030-4C4E-AF9E-63466F86B40A}" name="Table8" displayName="Table8" ref="A1:B321" totalsRowShown="0" headerRowDxfId="14" dataDxfId="13">
  <autoFilter ref="A1:B321" xr:uid="{49FAFD02-3030-4C4E-AF9E-63466F86B40A}"/>
  <tableColumns count="2">
    <tableColumn id="1" xr3:uid="{0BA8E11D-34F3-4223-A850-5FF37FDDDD5C}" name="OBJECT" dataDxfId="16"/>
    <tableColumn id="2" xr3:uid="{987DE7B1-1D9C-44E1-BF79-364FE78A039E}" name="DESCRIPTION" dataDxfId="15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F97E8-0F82-4C30-B98B-0C71697DB7BD}">
  <dimension ref="A2:C43"/>
  <sheetViews>
    <sheetView workbookViewId="0">
      <selection sqref="A1:XFD1048576"/>
    </sheetView>
  </sheetViews>
  <sheetFormatPr defaultRowHeight="15.75" x14ac:dyDescent="0.25"/>
  <cols>
    <col min="1" max="1" width="24.28515625" style="8" customWidth="1"/>
    <col min="2" max="2" width="17.42578125" style="8" customWidth="1"/>
    <col min="3" max="3" width="37.7109375" style="18" customWidth="1"/>
    <col min="4" max="16384" width="9.140625" style="9"/>
  </cols>
  <sheetData>
    <row r="2" spans="1:3" x14ac:dyDescent="0.25">
      <c r="A2" s="14" t="s">
        <v>1232</v>
      </c>
      <c r="B2" s="14" t="s">
        <v>1231</v>
      </c>
      <c r="C2" s="15" t="s">
        <v>0</v>
      </c>
    </row>
    <row r="3" spans="1:3" x14ac:dyDescent="0.25">
      <c r="A3" s="16" t="s">
        <v>1233</v>
      </c>
      <c r="B3" s="16"/>
      <c r="C3" s="17"/>
    </row>
    <row r="4" spans="1:3" x14ac:dyDescent="0.25">
      <c r="A4" s="8">
        <v>11</v>
      </c>
      <c r="B4" s="8" t="s">
        <v>1256</v>
      </c>
      <c r="C4" s="18" t="s">
        <v>1</v>
      </c>
    </row>
    <row r="5" spans="1:3" x14ac:dyDescent="0.25">
      <c r="A5" s="8">
        <v>11</v>
      </c>
      <c r="B5" s="8" t="s">
        <v>1257</v>
      </c>
      <c r="C5" s="18" t="s">
        <v>3</v>
      </c>
    </row>
    <row r="6" spans="1:3" x14ac:dyDescent="0.25">
      <c r="A6" s="8">
        <v>11</v>
      </c>
      <c r="B6" s="8" t="s">
        <v>1258</v>
      </c>
      <c r="C6" s="18" t="s">
        <v>5</v>
      </c>
    </row>
    <row r="7" spans="1:3" x14ac:dyDescent="0.25">
      <c r="A7" s="8">
        <v>11</v>
      </c>
      <c r="B7" s="8" t="s">
        <v>1259</v>
      </c>
      <c r="C7" s="18" t="s">
        <v>6</v>
      </c>
    </row>
    <row r="8" spans="1:3" x14ac:dyDescent="0.25">
      <c r="A8" s="8">
        <v>11</v>
      </c>
      <c r="B8" s="8" t="s">
        <v>1260</v>
      </c>
      <c r="C8" s="18" t="s">
        <v>10</v>
      </c>
    </row>
    <row r="9" spans="1:3" x14ac:dyDescent="0.25">
      <c r="A9" s="16" t="s">
        <v>1234</v>
      </c>
      <c r="B9" s="16"/>
      <c r="C9" s="17"/>
    </row>
    <row r="10" spans="1:3" x14ac:dyDescent="0.25">
      <c r="A10" s="8">
        <v>12</v>
      </c>
      <c r="B10" s="8" t="s">
        <v>1261</v>
      </c>
      <c r="C10" s="18" t="s">
        <v>2</v>
      </c>
    </row>
    <row r="11" spans="1:3" x14ac:dyDescent="0.25">
      <c r="A11" s="8">
        <v>12</v>
      </c>
      <c r="B11" s="8" t="s">
        <v>1262</v>
      </c>
      <c r="C11" s="18" t="s">
        <v>4</v>
      </c>
    </row>
    <row r="12" spans="1:3" x14ac:dyDescent="0.25">
      <c r="A12" s="8">
        <v>12</v>
      </c>
      <c r="B12" s="8" t="s">
        <v>1263</v>
      </c>
      <c r="C12" s="18" t="s">
        <v>8</v>
      </c>
    </row>
    <row r="13" spans="1:3" x14ac:dyDescent="0.25">
      <c r="A13" s="8">
        <v>12</v>
      </c>
      <c r="B13" s="8" t="s">
        <v>1264</v>
      </c>
      <c r="C13" s="18" t="s">
        <v>9</v>
      </c>
    </row>
    <row r="14" spans="1:3" x14ac:dyDescent="0.25">
      <c r="A14" s="16" t="s">
        <v>1235</v>
      </c>
      <c r="B14" s="16"/>
      <c r="C14" s="17"/>
    </row>
    <row r="15" spans="1:3" x14ac:dyDescent="0.25">
      <c r="A15" s="8">
        <v>59</v>
      </c>
      <c r="B15" s="8" t="s">
        <v>1265</v>
      </c>
      <c r="C15" s="18" t="s">
        <v>7</v>
      </c>
    </row>
    <row r="16" spans="1:3" ht="31.5" x14ac:dyDescent="0.25">
      <c r="A16" s="16" t="s">
        <v>1236</v>
      </c>
      <c r="B16" s="16"/>
      <c r="C16" s="17"/>
    </row>
    <row r="17" spans="1:3" x14ac:dyDescent="0.25">
      <c r="A17" s="8">
        <v>41</v>
      </c>
      <c r="B17" s="8" t="s">
        <v>1266</v>
      </c>
      <c r="C17" s="18" t="s">
        <v>12</v>
      </c>
    </row>
    <row r="18" spans="1:3" x14ac:dyDescent="0.25">
      <c r="A18" s="8">
        <v>43</v>
      </c>
      <c r="B18" s="8" t="s">
        <v>1267</v>
      </c>
      <c r="C18" s="18" t="s">
        <v>13</v>
      </c>
    </row>
    <row r="19" spans="1:3" x14ac:dyDescent="0.25">
      <c r="A19" s="8">
        <v>43</v>
      </c>
      <c r="B19" s="8" t="s">
        <v>1268</v>
      </c>
      <c r="C19" s="18" t="s">
        <v>14</v>
      </c>
    </row>
    <row r="20" spans="1:3" x14ac:dyDescent="0.25">
      <c r="A20" s="8">
        <v>43</v>
      </c>
      <c r="B20" s="8" t="s">
        <v>1269</v>
      </c>
      <c r="C20" s="18" t="s">
        <v>15</v>
      </c>
    </row>
    <row r="21" spans="1:3" x14ac:dyDescent="0.25">
      <c r="A21" s="8">
        <v>43</v>
      </c>
      <c r="B21" s="8" t="s">
        <v>1270</v>
      </c>
      <c r="C21" s="18" t="s">
        <v>16</v>
      </c>
    </row>
    <row r="22" spans="1:3" x14ac:dyDescent="0.25">
      <c r="A22" s="8">
        <v>43</v>
      </c>
      <c r="B22" s="8" t="s">
        <v>1271</v>
      </c>
      <c r="C22" s="18" t="s">
        <v>17</v>
      </c>
    </row>
    <row r="23" spans="1:3" x14ac:dyDescent="0.25">
      <c r="A23" s="8">
        <v>43</v>
      </c>
      <c r="B23" s="8" t="s">
        <v>1272</v>
      </c>
      <c r="C23" s="18" t="s">
        <v>18</v>
      </c>
    </row>
    <row r="24" spans="1:3" x14ac:dyDescent="0.25">
      <c r="A24" s="8">
        <v>43</v>
      </c>
      <c r="B24" s="8" t="s">
        <v>1273</v>
      </c>
      <c r="C24" s="18" t="s">
        <v>19</v>
      </c>
    </row>
    <row r="25" spans="1:3" x14ac:dyDescent="0.25">
      <c r="A25" s="8">
        <v>43</v>
      </c>
      <c r="B25" s="8" t="s">
        <v>1274</v>
      </c>
      <c r="C25" s="18" t="s">
        <v>20</v>
      </c>
    </row>
    <row r="26" spans="1:3" ht="31.5" x14ac:dyDescent="0.25">
      <c r="A26" s="16" t="s">
        <v>1236</v>
      </c>
      <c r="B26" s="16"/>
      <c r="C26" s="17"/>
    </row>
    <row r="27" spans="1:3" x14ac:dyDescent="0.25">
      <c r="A27" s="8">
        <v>33</v>
      </c>
      <c r="B27" s="8" t="s">
        <v>1275</v>
      </c>
      <c r="C27" s="18" t="s">
        <v>11</v>
      </c>
    </row>
    <row r="28" spans="1:3" x14ac:dyDescent="0.25">
      <c r="A28" s="8">
        <v>32</v>
      </c>
      <c r="B28" s="8" t="s">
        <v>1276</v>
      </c>
      <c r="C28" s="18" t="s">
        <v>23</v>
      </c>
    </row>
    <row r="29" spans="1:3" x14ac:dyDescent="0.25">
      <c r="A29" s="16" t="s">
        <v>1237</v>
      </c>
      <c r="B29" s="16"/>
      <c r="C29" s="17"/>
    </row>
    <row r="30" spans="1:3" x14ac:dyDescent="0.25">
      <c r="A30" s="8">
        <v>61</v>
      </c>
      <c r="B30" s="8" t="s">
        <v>1277</v>
      </c>
      <c r="C30" s="18" t="s">
        <v>22</v>
      </c>
    </row>
    <row r="31" spans="1:3" x14ac:dyDescent="0.25">
      <c r="A31" s="16" t="s">
        <v>1239</v>
      </c>
      <c r="B31" s="16"/>
      <c r="C31" s="17"/>
    </row>
    <row r="32" spans="1:3" x14ac:dyDescent="0.25">
      <c r="A32" s="8">
        <v>74</v>
      </c>
      <c r="B32" s="8" t="s">
        <v>1278</v>
      </c>
      <c r="C32" s="18" t="s">
        <v>21</v>
      </c>
    </row>
    <row r="33" spans="1:3" x14ac:dyDescent="0.25">
      <c r="A33" s="8">
        <v>79</v>
      </c>
      <c r="B33" s="8" t="s">
        <v>1279</v>
      </c>
      <c r="C33" s="18" t="s">
        <v>31</v>
      </c>
    </row>
    <row r="34" spans="1:3" x14ac:dyDescent="0.25">
      <c r="A34" s="8">
        <v>71</v>
      </c>
      <c r="B34" s="8" t="s">
        <v>1280</v>
      </c>
      <c r="C34" s="18" t="s">
        <v>24</v>
      </c>
    </row>
    <row r="35" spans="1:3" x14ac:dyDescent="0.25">
      <c r="A35" s="8">
        <v>72</v>
      </c>
      <c r="B35" s="8" t="s">
        <v>1281</v>
      </c>
      <c r="C35" s="18" t="s">
        <v>25</v>
      </c>
    </row>
    <row r="36" spans="1:3" x14ac:dyDescent="0.25">
      <c r="A36" s="16" t="s">
        <v>1238</v>
      </c>
      <c r="B36" s="16"/>
      <c r="C36" s="17"/>
    </row>
    <row r="37" spans="1:3" x14ac:dyDescent="0.25">
      <c r="A37" s="8">
        <v>76</v>
      </c>
      <c r="B37" s="8" t="s">
        <v>1282</v>
      </c>
      <c r="C37" s="18" t="s">
        <v>26</v>
      </c>
    </row>
    <row r="38" spans="1:3" x14ac:dyDescent="0.25">
      <c r="A38" s="8">
        <v>29</v>
      </c>
      <c r="B38" s="8" t="s">
        <v>1283</v>
      </c>
      <c r="C38" s="18" t="s">
        <v>29</v>
      </c>
    </row>
    <row r="39" spans="1:3" x14ac:dyDescent="0.25">
      <c r="A39" s="8">
        <v>29</v>
      </c>
      <c r="B39" s="8" t="s">
        <v>1284</v>
      </c>
      <c r="C39" s="18" t="s">
        <v>28</v>
      </c>
    </row>
    <row r="40" spans="1:3" x14ac:dyDescent="0.25">
      <c r="A40" s="16" t="s">
        <v>1242</v>
      </c>
    </row>
    <row r="41" spans="1:3" x14ac:dyDescent="0.25">
      <c r="B41" s="8" t="s">
        <v>1285</v>
      </c>
      <c r="C41" s="18" t="s">
        <v>27</v>
      </c>
    </row>
    <row r="42" spans="1:3" x14ac:dyDescent="0.25">
      <c r="B42" s="8" t="s">
        <v>1286</v>
      </c>
      <c r="C42" s="18" t="s">
        <v>30</v>
      </c>
    </row>
    <row r="43" spans="1:3" x14ac:dyDescent="0.25">
      <c r="B43" s="8" t="s">
        <v>1287</v>
      </c>
      <c r="C43" s="18" t="s">
        <v>32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4CD1-3FA8-4EDC-8F1D-4E8C1792A860}">
  <dimension ref="A1:B11"/>
  <sheetViews>
    <sheetView workbookViewId="0">
      <selection activeCell="D22" sqref="D22"/>
    </sheetView>
  </sheetViews>
  <sheetFormatPr defaultColWidth="19" defaultRowHeight="15.75" x14ac:dyDescent="0.25"/>
  <cols>
    <col min="1" max="1" width="19" style="9"/>
    <col min="2" max="2" width="43.5703125" style="9" customWidth="1"/>
    <col min="3" max="16384" width="19" style="9"/>
  </cols>
  <sheetData>
    <row r="1" spans="1:2" x14ac:dyDescent="0.25">
      <c r="A1" s="18" t="s">
        <v>1240</v>
      </c>
      <c r="B1" s="18" t="s">
        <v>1241</v>
      </c>
    </row>
    <row r="2" spans="1:2" s="19" customFormat="1" x14ac:dyDescent="0.25">
      <c r="A2" s="20" t="s">
        <v>33</v>
      </c>
      <c r="B2" s="20" t="s">
        <v>0</v>
      </c>
    </row>
    <row r="3" spans="1:2" x14ac:dyDescent="0.25">
      <c r="A3" s="18" t="str">
        <f>"11"</f>
        <v>11</v>
      </c>
      <c r="B3" s="18" t="s">
        <v>34</v>
      </c>
    </row>
    <row r="4" spans="1:2" x14ac:dyDescent="0.25">
      <c r="A4" s="18" t="str">
        <f>"15"</f>
        <v>15</v>
      </c>
      <c r="B4" s="18" t="s">
        <v>35</v>
      </c>
    </row>
    <row r="5" spans="1:2" x14ac:dyDescent="0.25">
      <c r="A5" s="18" t="str">
        <f>"19"</f>
        <v>19</v>
      </c>
      <c r="B5" s="18" t="s">
        <v>10</v>
      </c>
    </row>
    <row r="6" spans="1:2" x14ac:dyDescent="0.25">
      <c r="A6" s="18" t="str">
        <f>"21"</f>
        <v>21</v>
      </c>
      <c r="B6" s="18" t="s">
        <v>36</v>
      </c>
    </row>
    <row r="7" spans="1:2" x14ac:dyDescent="0.25">
      <c r="A7" s="18" t="str">
        <f>"25"</f>
        <v>25</v>
      </c>
      <c r="B7" s="18" t="s">
        <v>37</v>
      </c>
    </row>
    <row r="8" spans="1:2" x14ac:dyDescent="0.25">
      <c r="A8" s="18" t="str">
        <f>"41"</f>
        <v>41</v>
      </c>
      <c r="B8" s="18" t="s">
        <v>38</v>
      </c>
    </row>
    <row r="9" spans="1:2" x14ac:dyDescent="0.25">
      <c r="A9" s="18" t="str">
        <f>"95"</f>
        <v>95</v>
      </c>
      <c r="B9" s="18" t="s">
        <v>39</v>
      </c>
    </row>
    <row r="10" spans="1:2" x14ac:dyDescent="0.25">
      <c r="A10" s="18" t="str">
        <f>"96"</f>
        <v>96</v>
      </c>
      <c r="B10" s="18" t="s">
        <v>40</v>
      </c>
    </row>
    <row r="11" spans="1:2" x14ac:dyDescent="0.25">
      <c r="A11" s="18" t="str">
        <f>"99"</f>
        <v>99</v>
      </c>
      <c r="B11" s="18" t="s">
        <v>41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876F2-6D89-46E7-95CD-7BA43D6E41E5}">
  <dimension ref="A2:B642"/>
  <sheetViews>
    <sheetView workbookViewId="0">
      <pane xSplit="1" ySplit="2" topLeftCell="B115" activePane="bottomRight" state="frozen"/>
      <selection pane="topRight" activeCell="B1" sqref="B1"/>
      <selection pane="bottomLeft" activeCell="A6" sqref="A6"/>
      <selection pane="bottomRight" activeCell="B130" sqref="B130"/>
    </sheetView>
  </sheetViews>
  <sheetFormatPr defaultColWidth="19" defaultRowHeight="15" x14ac:dyDescent="0.25"/>
  <cols>
    <col min="1" max="1" width="19" style="7"/>
    <col min="2" max="2" width="66.5703125" style="7" customWidth="1"/>
    <col min="3" max="16384" width="19" style="7"/>
  </cols>
  <sheetData>
    <row r="2" spans="1:2" ht="15.75" x14ac:dyDescent="0.25">
      <c r="A2" s="6" t="s">
        <v>1230</v>
      </c>
      <c r="B2" s="6" t="s">
        <v>0</v>
      </c>
    </row>
    <row r="3" spans="1:2" ht="15.75" x14ac:dyDescent="0.25">
      <c r="A3" s="6" t="str">
        <f>"0000"</f>
        <v>0000</v>
      </c>
      <c r="B3" s="6" t="s">
        <v>42</v>
      </c>
    </row>
    <row r="4" spans="1:2" ht="15.75" x14ac:dyDescent="0.25">
      <c r="A4" s="6" t="str">
        <f>"0400"</f>
        <v>0400</v>
      </c>
      <c r="B4" s="6" t="s">
        <v>43</v>
      </c>
    </row>
    <row r="5" spans="1:2" ht="15.75" x14ac:dyDescent="0.25">
      <c r="A5" s="6" t="str">
        <f>"0401"</f>
        <v>0401</v>
      </c>
      <c r="B5" s="6" t="s">
        <v>44</v>
      </c>
    </row>
    <row r="6" spans="1:2" ht="15.75" x14ac:dyDescent="0.25">
      <c r="A6" s="6" t="str">
        <f>"0411"</f>
        <v>0411</v>
      </c>
      <c r="B6" s="6" t="s">
        <v>45</v>
      </c>
    </row>
    <row r="7" spans="1:2" ht="15.75" x14ac:dyDescent="0.25">
      <c r="A7" s="6" t="str">
        <f>"0412"</f>
        <v>0412</v>
      </c>
      <c r="B7" s="6" t="s">
        <v>46</v>
      </c>
    </row>
    <row r="8" spans="1:2" ht="15.75" x14ac:dyDescent="0.25">
      <c r="A8" s="6" t="str">
        <f>"0501"</f>
        <v>0501</v>
      </c>
      <c r="B8" s="6" t="s">
        <v>47</v>
      </c>
    </row>
    <row r="9" spans="1:2" ht="15.75" x14ac:dyDescent="0.25">
      <c r="A9" s="6" t="str">
        <f>"0502"</f>
        <v>0502</v>
      </c>
      <c r="B9" s="6" t="s">
        <v>48</v>
      </c>
    </row>
    <row r="10" spans="1:2" ht="15.75" x14ac:dyDescent="0.25">
      <c r="A10" s="6" t="str">
        <f>"0503"</f>
        <v>0503</v>
      </c>
      <c r="B10" s="6" t="s">
        <v>49</v>
      </c>
    </row>
    <row r="11" spans="1:2" ht="15.75" x14ac:dyDescent="0.25">
      <c r="A11" s="6" t="str">
        <f>"0505"</f>
        <v>0505</v>
      </c>
      <c r="B11" s="6" t="s">
        <v>50</v>
      </c>
    </row>
    <row r="12" spans="1:2" ht="15.75" x14ac:dyDescent="0.25">
      <c r="A12" s="6" t="str">
        <f>"0506"</f>
        <v>0506</v>
      </c>
      <c r="B12" s="6" t="s">
        <v>51</v>
      </c>
    </row>
    <row r="13" spans="1:2" ht="15.75" x14ac:dyDescent="0.25">
      <c r="A13" s="6" t="str">
        <f>"0509"</f>
        <v>0509</v>
      </c>
      <c r="B13" s="6" t="s">
        <v>52</v>
      </c>
    </row>
    <row r="14" spans="1:2" ht="15.75" x14ac:dyDescent="0.25">
      <c r="A14" s="6" t="str">
        <f>"0511"</f>
        <v>0511</v>
      </c>
      <c r="B14" s="6" t="s">
        <v>53</v>
      </c>
    </row>
    <row r="15" spans="1:2" ht="15.75" x14ac:dyDescent="0.25">
      <c r="A15" s="6" t="str">
        <f>"0514"</f>
        <v>0514</v>
      </c>
      <c r="B15" s="6" t="s">
        <v>54</v>
      </c>
    </row>
    <row r="16" spans="1:2" ht="15.75" x14ac:dyDescent="0.25">
      <c r="A16" s="6" t="str">
        <f>"0516"</f>
        <v>0516</v>
      </c>
      <c r="B16" s="6" t="s">
        <v>55</v>
      </c>
    </row>
    <row r="17" spans="1:2" ht="15.75" x14ac:dyDescent="0.25">
      <c r="A17" s="6" t="str">
        <f>"0520"</f>
        <v>0520</v>
      </c>
      <c r="B17" s="6" t="s">
        <v>56</v>
      </c>
    </row>
    <row r="18" spans="1:2" ht="15.75" x14ac:dyDescent="0.25">
      <c r="A18" s="6" t="str">
        <f>"0600"</f>
        <v>0600</v>
      </c>
      <c r="B18" s="6" t="s">
        <v>57</v>
      </c>
    </row>
    <row r="19" spans="1:2" ht="15.75" x14ac:dyDescent="0.25">
      <c r="A19" s="6" t="str">
        <f>"0602"</f>
        <v>0602</v>
      </c>
      <c r="B19" s="6" t="s">
        <v>57</v>
      </c>
    </row>
    <row r="20" spans="1:2" ht="15.75" x14ac:dyDescent="0.25">
      <c r="A20" s="6" t="str">
        <f>"0603"</f>
        <v>0603</v>
      </c>
      <c r="B20" s="6" t="s">
        <v>58</v>
      </c>
    </row>
    <row r="21" spans="1:2" ht="15.75" x14ac:dyDescent="0.25">
      <c r="A21" s="6" t="str">
        <f>"0604"</f>
        <v>0604</v>
      </c>
      <c r="B21" s="6" t="s">
        <v>59</v>
      </c>
    </row>
    <row r="22" spans="1:2" ht="15.75" x14ac:dyDescent="0.25">
      <c r="A22" s="6" t="str">
        <f>"0614"</f>
        <v>0614</v>
      </c>
      <c r="B22" s="6" t="s">
        <v>60</v>
      </c>
    </row>
    <row r="23" spans="1:2" ht="15.75" x14ac:dyDescent="0.25">
      <c r="A23" s="6" t="str">
        <f>"0700"</f>
        <v>0700</v>
      </c>
      <c r="B23" s="6" t="s">
        <v>61</v>
      </c>
    </row>
    <row r="24" spans="1:2" ht="15.75" x14ac:dyDescent="0.25">
      <c r="A24" s="6" t="str">
        <f>"0701"</f>
        <v>0701</v>
      </c>
      <c r="B24" s="6" t="s">
        <v>62</v>
      </c>
    </row>
    <row r="25" spans="1:2" ht="15.75" x14ac:dyDescent="0.25">
      <c r="A25" s="6" t="str">
        <f>"0702"</f>
        <v>0702</v>
      </c>
      <c r="B25" s="6" t="s">
        <v>63</v>
      </c>
    </row>
    <row r="26" spans="1:2" ht="15.75" x14ac:dyDescent="0.25">
      <c r="A26" s="6" t="str">
        <f>"0703"</f>
        <v>0703</v>
      </c>
      <c r="B26" s="6" t="s">
        <v>64</v>
      </c>
    </row>
    <row r="27" spans="1:2" ht="15.75" x14ac:dyDescent="0.25">
      <c r="A27" s="6" t="str">
        <f>"0705"</f>
        <v>0705</v>
      </c>
      <c r="B27" s="6" t="s">
        <v>65</v>
      </c>
    </row>
    <row r="28" spans="1:2" ht="15.75" x14ac:dyDescent="0.25">
      <c r="A28" s="6" t="str">
        <f>"0707"</f>
        <v>0707</v>
      </c>
      <c r="B28" s="6" t="s">
        <v>66</v>
      </c>
    </row>
    <row r="29" spans="1:2" ht="15.75" x14ac:dyDescent="0.25">
      <c r="A29" s="6" t="str">
        <f>"0708"</f>
        <v>0708</v>
      </c>
      <c r="B29" s="6" t="s">
        <v>67</v>
      </c>
    </row>
    <row r="30" spans="1:2" ht="15.75" x14ac:dyDescent="0.25">
      <c r="A30" s="6" t="str">
        <f>"0799"</f>
        <v>0799</v>
      </c>
      <c r="B30" s="6" t="s">
        <v>68</v>
      </c>
    </row>
    <row r="31" spans="1:2" ht="15.75" x14ac:dyDescent="0.25">
      <c r="A31" s="6" t="str">
        <f>"0801"</f>
        <v>0801</v>
      </c>
      <c r="B31" s="6" t="s">
        <v>69</v>
      </c>
    </row>
    <row r="32" spans="1:2" ht="15.75" x14ac:dyDescent="0.25">
      <c r="A32" s="6" t="str">
        <f>"0808"</f>
        <v>0808</v>
      </c>
      <c r="B32" s="6" t="s">
        <v>70</v>
      </c>
    </row>
    <row r="33" spans="1:2" ht="15.75" x14ac:dyDescent="0.25">
      <c r="A33" s="6" t="str">
        <f>"0821"</f>
        <v>0821</v>
      </c>
      <c r="B33" s="6" t="s">
        <v>71</v>
      </c>
    </row>
    <row r="34" spans="1:2" ht="15.75" x14ac:dyDescent="0.25">
      <c r="A34" s="6" t="str">
        <f>"0822"</f>
        <v>0822</v>
      </c>
      <c r="B34" s="6" t="s">
        <v>72</v>
      </c>
    </row>
    <row r="35" spans="1:2" ht="15.75" x14ac:dyDescent="0.25">
      <c r="A35" s="6" t="str">
        <f>"0823"</f>
        <v>0823</v>
      </c>
      <c r="B35" s="6" t="s">
        <v>73</v>
      </c>
    </row>
    <row r="36" spans="1:2" ht="15.75" x14ac:dyDescent="0.25">
      <c r="A36" s="6" t="str">
        <f>"0824"</f>
        <v>0824</v>
      </c>
      <c r="B36" s="6" t="s">
        <v>74</v>
      </c>
    </row>
    <row r="37" spans="1:2" ht="15.75" x14ac:dyDescent="0.25">
      <c r="A37" s="6" t="str">
        <f>"0825"</f>
        <v>0825</v>
      </c>
      <c r="B37" s="6" t="s">
        <v>75</v>
      </c>
    </row>
    <row r="38" spans="1:2" ht="15.75" x14ac:dyDescent="0.25">
      <c r="A38" s="6" t="str">
        <f>"0826"</f>
        <v>0826</v>
      </c>
      <c r="B38" s="6" t="s">
        <v>76</v>
      </c>
    </row>
    <row r="39" spans="1:2" ht="15.75" x14ac:dyDescent="0.25">
      <c r="A39" s="6" t="str">
        <f>"0827"</f>
        <v>0827</v>
      </c>
      <c r="B39" s="6" t="s">
        <v>77</v>
      </c>
    </row>
    <row r="40" spans="1:2" ht="15.75" x14ac:dyDescent="0.25">
      <c r="A40" s="6" t="str">
        <f>"0828"</f>
        <v>0828</v>
      </c>
      <c r="B40" s="6" t="s">
        <v>78</v>
      </c>
    </row>
    <row r="41" spans="1:2" ht="15.75" x14ac:dyDescent="0.25">
      <c r="A41" s="6" t="str">
        <f>"0829"</f>
        <v>0829</v>
      </c>
      <c r="B41" s="6" t="s">
        <v>79</v>
      </c>
    </row>
    <row r="42" spans="1:2" ht="15.75" x14ac:dyDescent="0.25">
      <c r="A42" s="6" t="str">
        <f>"0830"</f>
        <v>0830</v>
      </c>
      <c r="B42" s="6" t="s">
        <v>80</v>
      </c>
    </row>
    <row r="43" spans="1:2" ht="15.75" x14ac:dyDescent="0.25">
      <c r="A43" s="6" t="str">
        <f>"0835"</f>
        <v>0835</v>
      </c>
      <c r="B43" s="6" t="s">
        <v>81</v>
      </c>
    </row>
    <row r="44" spans="1:2" ht="15.75" x14ac:dyDescent="0.25">
      <c r="A44" s="6" t="str">
        <f>"0836"</f>
        <v>0836</v>
      </c>
      <c r="B44" s="6" t="s">
        <v>82</v>
      </c>
    </row>
    <row r="45" spans="1:2" ht="15.75" x14ac:dyDescent="0.25">
      <c r="A45" s="6" t="str">
        <f>"0837"</f>
        <v>0837</v>
      </c>
      <c r="B45" s="6" t="s">
        <v>83</v>
      </c>
    </row>
    <row r="46" spans="1:2" ht="15.75" x14ac:dyDescent="0.25">
      <c r="A46" s="6" t="str">
        <f>"0838"</f>
        <v>0838</v>
      </c>
      <c r="B46" s="6" t="s">
        <v>84</v>
      </c>
    </row>
    <row r="47" spans="1:2" ht="15.75" x14ac:dyDescent="0.25">
      <c r="A47" s="6" t="str">
        <f>"0839"</f>
        <v>0839</v>
      </c>
      <c r="B47" s="6" t="s">
        <v>85</v>
      </c>
    </row>
    <row r="48" spans="1:2" ht="15.75" x14ac:dyDescent="0.25">
      <c r="A48" s="6" t="str">
        <f>"0851"</f>
        <v>0851</v>
      </c>
      <c r="B48" s="6" t="s">
        <v>86</v>
      </c>
    </row>
    <row r="49" spans="1:2" ht="15.75" x14ac:dyDescent="0.25">
      <c r="A49" s="6" t="str">
        <f>"0860"</f>
        <v>0860</v>
      </c>
      <c r="B49" s="6" t="s">
        <v>87</v>
      </c>
    </row>
    <row r="50" spans="1:2" ht="15.75" x14ac:dyDescent="0.25">
      <c r="A50" s="6" t="str">
        <f>"0861"</f>
        <v>0861</v>
      </c>
      <c r="B50" s="6" t="s">
        <v>88</v>
      </c>
    </row>
    <row r="51" spans="1:2" ht="15.75" x14ac:dyDescent="0.25">
      <c r="A51" s="6" t="str">
        <f>"0901"</f>
        <v>0901</v>
      </c>
      <c r="B51" s="6" t="s">
        <v>89</v>
      </c>
    </row>
    <row r="52" spans="1:2" ht="15.75" x14ac:dyDescent="0.25">
      <c r="A52" s="6" t="str">
        <f>"0903"</f>
        <v>0903</v>
      </c>
      <c r="B52" s="6" t="s">
        <v>90</v>
      </c>
    </row>
    <row r="53" spans="1:2" ht="15.75" x14ac:dyDescent="0.25">
      <c r="A53" s="6" t="str">
        <f>"0904"</f>
        <v>0904</v>
      </c>
      <c r="B53" s="6" t="s">
        <v>91</v>
      </c>
    </row>
    <row r="54" spans="1:2" ht="15.75" x14ac:dyDescent="0.25">
      <c r="A54" s="6" t="str">
        <f>"0924"</f>
        <v>0924</v>
      </c>
      <c r="B54" s="6" t="s">
        <v>92</v>
      </c>
    </row>
    <row r="55" spans="1:2" ht="15.75" x14ac:dyDescent="0.25">
      <c r="A55" s="6" t="str">
        <f>"0925"</f>
        <v>0925</v>
      </c>
      <c r="B55" s="6" t="s">
        <v>93</v>
      </c>
    </row>
    <row r="56" spans="1:2" ht="15.75" x14ac:dyDescent="0.25">
      <c r="A56" s="6" t="str">
        <f>"0933"</f>
        <v>0933</v>
      </c>
      <c r="B56" s="6" t="s">
        <v>94</v>
      </c>
    </row>
    <row r="57" spans="1:2" ht="15.75" x14ac:dyDescent="0.25">
      <c r="A57" s="6" t="str">
        <f>"0934"</f>
        <v>0934</v>
      </c>
      <c r="B57" s="6" t="s">
        <v>95</v>
      </c>
    </row>
    <row r="58" spans="1:2" ht="15.75" x14ac:dyDescent="0.25">
      <c r="A58" s="6" t="str">
        <f>"0935"</f>
        <v>0935</v>
      </c>
      <c r="B58" s="6" t="s">
        <v>96</v>
      </c>
    </row>
    <row r="59" spans="1:2" ht="15.75" x14ac:dyDescent="0.25">
      <c r="A59" s="6" t="str">
        <f>"0944"</f>
        <v>0944</v>
      </c>
      <c r="B59" s="6" t="s">
        <v>97</v>
      </c>
    </row>
    <row r="60" spans="1:2" ht="15.75" x14ac:dyDescent="0.25">
      <c r="A60" s="6" t="str">
        <f>"0945"</f>
        <v>0945</v>
      </c>
      <c r="B60" s="6" t="s">
        <v>92</v>
      </c>
    </row>
    <row r="61" spans="1:2" ht="15.75" x14ac:dyDescent="0.25">
      <c r="A61" s="6" t="str">
        <f>"0946"</f>
        <v>0946</v>
      </c>
      <c r="B61" s="6" t="s">
        <v>98</v>
      </c>
    </row>
    <row r="62" spans="1:2" ht="15.75" x14ac:dyDescent="0.25">
      <c r="A62" s="6" t="str">
        <f>"0947"</f>
        <v>0947</v>
      </c>
      <c r="B62" s="6" t="s">
        <v>99</v>
      </c>
    </row>
    <row r="63" spans="1:2" ht="15.75" x14ac:dyDescent="0.25">
      <c r="A63" s="6" t="str">
        <f>"0948"</f>
        <v>0948</v>
      </c>
      <c r="B63" s="6" t="s">
        <v>100</v>
      </c>
    </row>
    <row r="64" spans="1:2" ht="15.75" x14ac:dyDescent="0.25">
      <c r="A64" s="6" t="str">
        <f>"0952"</f>
        <v>0952</v>
      </c>
      <c r="B64" s="6" t="s">
        <v>101</v>
      </c>
    </row>
    <row r="65" spans="1:2" ht="15.75" x14ac:dyDescent="0.25">
      <c r="A65" s="6" t="str">
        <f>"0953"</f>
        <v>0953</v>
      </c>
      <c r="B65" s="6" t="s">
        <v>102</v>
      </c>
    </row>
    <row r="66" spans="1:2" ht="15.75" x14ac:dyDescent="0.25">
      <c r="A66" s="6" t="str">
        <f>"0956"</f>
        <v>0956</v>
      </c>
      <c r="B66" s="6" t="s">
        <v>103</v>
      </c>
    </row>
    <row r="67" spans="1:2" ht="15.75" x14ac:dyDescent="0.25">
      <c r="A67" s="6" t="str">
        <f>"0957"</f>
        <v>0957</v>
      </c>
      <c r="B67" s="6" t="s">
        <v>104</v>
      </c>
    </row>
    <row r="68" spans="1:2" ht="15.75" x14ac:dyDescent="0.25">
      <c r="A68" s="6" t="str">
        <f>"0958"</f>
        <v>0958</v>
      </c>
      <c r="B68" s="6" t="s">
        <v>105</v>
      </c>
    </row>
    <row r="69" spans="1:2" ht="15.75" x14ac:dyDescent="0.25">
      <c r="A69" s="6" t="str">
        <f>"0999"</f>
        <v>0999</v>
      </c>
      <c r="B69" s="6" t="s">
        <v>106</v>
      </c>
    </row>
    <row r="70" spans="1:2" ht="15.75" x14ac:dyDescent="0.25">
      <c r="A70" s="6" t="str">
        <f>"1001"</f>
        <v>1001</v>
      </c>
      <c r="B70" s="6" t="s">
        <v>107</v>
      </c>
    </row>
    <row r="71" spans="1:2" ht="15.75" x14ac:dyDescent="0.25">
      <c r="A71" s="6" t="str">
        <f>"1002"</f>
        <v>1002</v>
      </c>
      <c r="B71" s="6" t="s">
        <v>108</v>
      </c>
    </row>
    <row r="72" spans="1:2" ht="15.75" x14ac:dyDescent="0.25">
      <c r="A72" s="6" t="str">
        <f>"1004"</f>
        <v>1004</v>
      </c>
      <c r="B72" s="6" t="s">
        <v>109</v>
      </c>
    </row>
    <row r="73" spans="1:2" ht="15.75" x14ac:dyDescent="0.25">
      <c r="A73" s="6" t="str">
        <f>"1005"</f>
        <v>1005</v>
      </c>
      <c r="B73" s="6" t="s">
        <v>110</v>
      </c>
    </row>
    <row r="74" spans="1:2" ht="15.75" x14ac:dyDescent="0.25">
      <c r="A74" s="6" t="str">
        <f>"1006"</f>
        <v>1006</v>
      </c>
      <c r="B74" s="6" t="s">
        <v>111</v>
      </c>
    </row>
    <row r="75" spans="1:2" ht="15.75" x14ac:dyDescent="0.25">
      <c r="A75" s="6" t="str">
        <f>"1007"</f>
        <v>1007</v>
      </c>
      <c r="B75" s="6" t="s">
        <v>112</v>
      </c>
    </row>
    <row r="76" spans="1:2" ht="15.75" x14ac:dyDescent="0.25">
      <c r="A76" s="6" t="str">
        <f>"1008"</f>
        <v>1008</v>
      </c>
      <c r="B76" s="6" t="s">
        <v>113</v>
      </c>
    </row>
    <row r="77" spans="1:2" ht="15.75" x14ac:dyDescent="0.25">
      <c r="A77" s="6" t="str">
        <f>"1009"</f>
        <v>1009</v>
      </c>
      <c r="B77" s="6" t="s">
        <v>114</v>
      </c>
    </row>
    <row r="78" spans="1:2" ht="15.75" x14ac:dyDescent="0.25">
      <c r="A78" s="6" t="str">
        <f>"1011"</f>
        <v>1011</v>
      </c>
      <c r="B78" s="6" t="s">
        <v>115</v>
      </c>
    </row>
    <row r="79" spans="1:2" ht="15.75" x14ac:dyDescent="0.25">
      <c r="A79" s="6" t="str">
        <f>"1012"</f>
        <v>1012</v>
      </c>
      <c r="B79" s="6" t="s">
        <v>116</v>
      </c>
    </row>
    <row r="80" spans="1:2" ht="15.75" x14ac:dyDescent="0.25">
      <c r="A80" s="6" t="str">
        <f>"1020"</f>
        <v>1020</v>
      </c>
      <c r="B80" s="6" t="s">
        <v>117</v>
      </c>
    </row>
    <row r="81" spans="1:2" ht="15.75" x14ac:dyDescent="0.25">
      <c r="A81" s="6" t="str">
        <f>"1030"</f>
        <v>1030</v>
      </c>
      <c r="B81" s="6" t="s">
        <v>118</v>
      </c>
    </row>
    <row r="82" spans="1:2" ht="15.75" x14ac:dyDescent="0.25">
      <c r="A82" s="6" t="str">
        <f>"1098"</f>
        <v>1098</v>
      </c>
      <c r="B82" s="6" t="s">
        <v>119</v>
      </c>
    </row>
    <row r="83" spans="1:2" ht="15.75" x14ac:dyDescent="0.25">
      <c r="A83" s="6" t="str">
        <f>"1100"</f>
        <v>1100</v>
      </c>
      <c r="B83" s="6" t="s">
        <v>120</v>
      </c>
    </row>
    <row r="84" spans="1:2" ht="15.75" x14ac:dyDescent="0.25">
      <c r="A84" s="6" t="str">
        <f>"1102"</f>
        <v>1102</v>
      </c>
      <c r="B84" s="6" t="s">
        <v>121</v>
      </c>
    </row>
    <row r="85" spans="1:2" ht="15.75" x14ac:dyDescent="0.25">
      <c r="A85" s="6" t="str">
        <f>"1103"</f>
        <v>1103</v>
      </c>
      <c r="B85" s="6" t="s">
        <v>122</v>
      </c>
    </row>
    <row r="86" spans="1:2" ht="15.75" x14ac:dyDescent="0.25">
      <c r="A86" s="6" t="str">
        <f>"1201"</f>
        <v>1201</v>
      </c>
      <c r="B86" s="6" t="s">
        <v>123</v>
      </c>
    </row>
    <row r="87" spans="1:2" ht="15.75" x14ac:dyDescent="0.25">
      <c r="A87" s="6" t="str">
        <f>"1203"</f>
        <v>1203</v>
      </c>
      <c r="B87" s="6" t="s">
        <v>124</v>
      </c>
    </row>
    <row r="88" spans="1:2" ht="15.75" x14ac:dyDescent="0.25">
      <c r="A88" s="6" t="str">
        <f>"1204"</f>
        <v>1204</v>
      </c>
      <c r="B88" s="6" t="s">
        <v>125</v>
      </c>
    </row>
    <row r="89" spans="1:2" ht="15.75" x14ac:dyDescent="0.25">
      <c r="A89" s="6" t="str">
        <f>"1207"</f>
        <v>1207</v>
      </c>
      <c r="B89" s="6" t="s">
        <v>126</v>
      </c>
    </row>
    <row r="90" spans="1:2" ht="15.75" x14ac:dyDescent="0.25">
      <c r="A90" s="6" t="str">
        <f>"1208"</f>
        <v>1208</v>
      </c>
      <c r="B90" s="6" t="s">
        <v>127</v>
      </c>
    </row>
    <row r="91" spans="1:2" ht="15.75" x14ac:dyDescent="0.25">
      <c r="A91" s="6" t="str">
        <f>"1220"</f>
        <v>1220</v>
      </c>
      <c r="B91" s="6" t="s">
        <v>128</v>
      </c>
    </row>
    <row r="92" spans="1:2" ht="15.75" x14ac:dyDescent="0.25">
      <c r="A92" s="6" t="str">
        <f>"1250"</f>
        <v>1250</v>
      </c>
      <c r="B92" s="6" t="s">
        <v>129</v>
      </c>
    </row>
    <row r="93" spans="1:2" ht="15.75" x14ac:dyDescent="0.25">
      <c r="A93" s="6" t="str">
        <f>"1264"</f>
        <v>1264</v>
      </c>
      <c r="B93" s="6" t="s">
        <v>130</v>
      </c>
    </row>
    <row r="94" spans="1:2" ht="15.75" x14ac:dyDescent="0.25">
      <c r="A94" s="6" t="str">
        <f>"1270"</f>
        <v>1270</v>
      </c>
      <c r="B94" s="6" t="s">
        <v>131</v>
      </c>
    </row>
    <row r="95" spans="1:2" ht="15.75" x14ac:dyDescent="0.25">
      <c r="A95" s="6" t="str">
        <f>"1301"</f>
        <v>1301</v>
      </c>
      <c r="B95" s="6" t="s">
        <v>132</v>
      </c>
    </row>
    <row r="96" spans="1:2" ht="15.75" x14ac:dyDescent="0.25">
      <c r="A96" s="6" t="str">
        <f>"1302"</f>
        <v>1302</v>
      </c>
      <c r="B96" s="6" t="s">
        <v>133</v>
      </c>
    </row>
    <row r="97" spans="1:2" ht="15.75" x14ac:dyDescent="0.25">
      <c r="A97" s="6" t="str">
        <f>"1306"</f>
        <v>1306</v>
      </c>
      <c r="B97" s="6" t="s">
        <v>134</v>
      </c>
    </row>
    <row r="98" spans="1:2" ht="15.75" x14ac:dyDescent="0.25">
      <c r="A98" s="6" t="str">
        <f>"1401"</f>
        <v>1401</v>
      </c>
      <c r="B98" s="6" t="s">
        <v>135</v>
      </c>
    </row>
    <row r="99" spans="1:2" ht="15.75" x14ac:dyDescent="0.25">
      <c r="A99" s="6" t="str">
        <f>"1402"</f>
        <v>1402</v>
      </c>
      <c r="B99" s="6" t="s">
        <v>136</v>
      </c>
    </row>
    <row r="100" spans="1:2" ht="15.75" x14ac:dyDescent="0.25">
      <c r="A100" s="6" t="str">
        <f>"1407"</f>
        <v>1407</v>
      </c>
      <c r="B100" s="6" t="s">
        <v>137</v>
      </c>
    </row>
    <row r="101" spans="1:2" ht="15.75" x14ac:dyDescent="0.25">
      <c r="A101" s="6" t="str">
        <f>"1500"</f>
        <v>1500</v>
      </c>
      <c r="B101" s="6" t="s">
        <v>138</v>
      </c>
    </row>
    <row r="102" spans="1:2" ht="15.75" x14ac:dyDescent="0.25">
      <c r="A102" s="6" t="str">
        <f>"1501"</f>
        <v>1501</v>
      </c>
      <c r="B102" s="6" t="s">
        <v>139</v>
      </c>
    </row>
    <row r="103" spans="1:2" ht="15.75" x14ac:dyDescent="0.25">
      <c r="A103" s="6" t="str">
        <f>"1502"</f>
        <v>1502</v>
      </c>
      <c r="B103" s="6" t="s">
        <v>140</v>
      </c>
    </row>
    <row r="104" spans="1:2" ht="15.75" x14ac:dyDescent="0.25">
      <c r="A104" s="6" t="str">
        <f>"1503"</f>
        <v>1503</v>
      </c>
      <c r="B104" s="6" t="s">
        <v>141</v>
      </c>
    </row>
    <row r="105" spans="1:2" ht="15.75" x14ac:dyDescent="0.25">
      <c r="A105" s="6" t="str">
        <f>"1506"</f>
        <v>1506</v>
      </c>
      <c r="B105" s="6" t="s">
        <v>142</v>
      </c>
    </row>
    <row r="106" spans="1:2" ht="15.75" x14ac:dyDescent="0.25">
      <c r="A106" s="6" t="str">
        <f>"1507"</f>
        <v>1507</v>
      </c>
      <c r="B106" s="6" t="s">
        <v>143</v>
      </c>
    </row>
    <row r="107" spans="1:2" ht="15.75" x14ac:dyDescent="0.25">
      <c r="A107" s="6" t="str">
        <f>"1508"</f>
        <v>1508</v>
      </c>
      <c r="B107" s="6" t="s">
        <v>144</v>
      </c>
    </row>
    <row r="108" spans="1:2" ht="15.75" x14ac:dyDescent="0.25">
      <c r="A108" s="6" t="str">
        <f>"1509"</f>
        <v>1509</v>
      </c>
      <c r="B108" s="6" t="s">
        <v>145</v>
      </c>
    </row>
    <row r="109" spans="1:2" ht="15.75" x14ac:dyDescent="0.25">
      <c r="A109" s="6" t="str">
        <f>"1520"</f>
        <v>1520</v>
      </c>
      <c r="B109" s="6" t="s">
        <v>146</v>
      </c>
    </row>
    <row r="110" spans="1:2" ht="15.75" x14ac:dyDescent="0.25">
      <c r="A110" s="6" t="str">
        <f>"1521"</f>
        <v>1521</v>
      </c>
      <c r="B110" s="6" t="s">
        <v>147</v>
      </c>
    </row>
    <row r="111" spans="1:2" ht="15.75" x14ac:dyDescent="0.25">
      <c r="A111" s="6" t="str">
        <f>"1530"</f>
        <v>1530</v>
      </c>
      <c r="B111" s="6" t="s">
        <v>148</v>
      </c>
    </row>
    <row r="112" spans="1:2" ht="15.75" x14ac:dyDescent="0.25">
      <c r="A112" s="6" t="str">
        <f>"1535"</f>
        <v>1535</v>
      </c>
      <c r="B112" s="6" t="s">
        <v>149</v>
      </c>
    </row>
    <row r="113" spans="1:2" ht="15.75" x14ac:dyDescent="0.25">
      <c r="A113" s="6" t="str">
        <f>"1536"</f>
        <v>1536</v>
      </c>
      <c r="B113" s="6" t="s">
        <v>150</v>
      </c>
    </row>
    <row r="114" spans="1:2" ht="15.75" x14ac:dyDescent="0.25">
      <c r="A114" s="6" t="str">
        <f>"1577"</f>
        <v>1577</v>
      </c>
      <c r="B114" s="6" t="s">
        <v>151</v>
      </c>
    </row>
    <row r="115" spans="1:2" ht="15.75" x14ac:dyDescent="0.25">
      <c r="A115" s="6" t="str">
        <f>"1630"</f>
        <v>1630</v>
      </c>
      <c r="B115" s="6" t="s">
        <v>152</v>
      </c>
    </row>
    <row r="116" spans="1:2" ht="15.75" x14ac:dyDescent="0.25">
      <c r="A116" s="6" t="str">
        <f>"1700"</f>
        <v>1700</v>
      </c>
      <c r="B116" s="6" t="s">
        <v>153</v>
      </c>
    </row>
    <row r="117" spans="1:2" ht="15.75" x14ac:dyDescent="0.25">
      <c r="A117" s="6" t="str">
        <f>"1701"</f>
        <v>1701</v>
      </c>
      <c r="B117" s="6" t="s">
        <v>154</v>
      </c>
    </row>
    <row r="118" spans="1:2" ht="15.75" x14ac:dyDescent="0.25">
      <c r="A118" s="6" t="str">
        <f>"1702"</f>
        <v>1702</v>
      </c>
      <c r="B118" s="6" t="s">
        <v>155</v>
      </c>
    </row>
    <row r="119" spans="1:2" ht="15.75" x14ac:dyDescent="0.25">
      <c r="A119" s="6" t="str">
        <f>"1703"</f>
        <v>1703</v>
      </c>
      <c r="B119" s="6" t="s">
        <v>156</v>
      </c>
    </row>
    <row r="120" spans="1:2" ht="15.75" x14ac:dyDescent="0.25">
      <c r="A120" s="6" t="str">
        <f>"1705"</f>
        <v>1705</v>
      </c>
      <c r="B120" s="6" t="s">
        <v>157</v>
      </c>
    </row>
    <row r="121" spans="1:2" ht="15.75" x14ac:dyDescent="0.25">
      <c r="A121" s="6" t="str">
        <f>"1900"</f>
        <v>1900</v>
      </c>
      <c r="B121" s="6" t="s">
        <v>158</v>
      </c>
    </row>
    <row r="122" spans="1:2" ht="15.75" x14ac:dyDescent="0.25">
      <c r="A122" s="6" t="str">
        <f>"1902"</f>
        <v>1902</v>
      </c>
      <c r="B122" s="6" t="s">
        <v>159</v>
      </c>
    </row>
    <row r="123" spans="1:2" ht="15.75" x14ac:dyDescent="0.25">
      <c r="A123" s="6" t="str">
        <f>"1905"</f>
        <v>1905</v>
      </c>
      <c r="B123" s="6" t="s">
        <v>160</v>
      </c>
    </row>
    <row r="124" spans="1:2" ht="15.75" x14ac:dyDescent="0.25">
      <c r="A124" s="6" t="str">
        <f>"1906"</f>
        <v>1906</v>
      </c>
      <c r="B124" s="6" t="s">
        <v>161</v>
      </c>
    </row>
    <row r="125" spans="1:2" ht="15.75" x14ac:dyDescent="0.25">
      <c r="A125" s="6" t="str">
        <f>"1907"</f>
        <v>1907</v>
      </c>
      <c r="B125" s="6" t="s">
        <v>162</v>
      </c>
    </row>
    <row r="126" spans="1:2" ht="15.75" x14ac:dyDescent="0.25">
      <c r="A126" s="6" t="str">
        <f>"1911"</f>
        <v>1911</v>
      </c>
      <c r="B126" s="6" t="s">
        <v>163</v>
      </c>
    </row>
    <row r="127" spans="1:2" ht="15.75" x14ac:dyDescent="0.25">
      <c r="A127" s="6" t="str">
        <f>"1914"</f>
        <v>1914</v>
      </c>
      <c r="B127" s="6" t="s">
        <v>164</v>
      </c>
    </row>
    <row r="128" spans="1:2" ht="15.75" x14ac:dyDescent="0.25">
      <c r="A128" s="6" t="str">
        <f>"1919"</f>
        <v>1919</v>
      </c>
      <c r="B128" s="6" t="s">
        <v>165</v>
      </c>
    </row>
    <row r="129" spans="1:2" ht="15.75" x14ac:dyDescent="0.25">
      <c r="A129" s="22">
        <v>2000</v>
      </c>
      <c r="B129" s="6" t="s">
        <v>1291</v>
      </c>
    </row>
    <row r="130" spans="1:2" ht="15.75" x14ac:dyDescent="0.25">
      <c r="A130" s="6" t="str">
        <f>"2001"</f>
        <v>2001</v>
      </c>
      <c r="B130" s="6" t="s">
        <v>166</v>
      </c>
    </row>
    <row r="131" spans="1:2" ht="15.75" x14ac:dyDescent="0.25">
      <c r="A131" s="6" t="str">
        <f>"2005"</f>
        <v>2005</v>
      </c>
      <c r="B131" s="6" t="s">
        <v>167</v>
      </c>
    </row>
    <row r="132" spans="1:2" ht="15.75" x14ac:dyDescent="0.25">
      <c r="A132" s="6" t="str">
        <f>"2102"</f>
        <v>2102</v>
      </c>
      <c r="B132" s="6" t="s">
        <v>168</v>
      </c>
    </row>
    <row r="133" spans="1:2" ht="15.75" x14ac:dyDescent="0.25">
      <c r="A133" s="6" t="str">
        <f>"2103"</f>
        <v>2103</v>
      </c>
      <c r="B133" s="6" t="s">
        <v>169</v>
      </c>
    </row>
    <row r="134" spans="1:2" ht="15.75" x14ac:dyDescent="0.25">
      <c r="A134" s="6" t="str">
        <f>"2104"</f>
        <v>2104</v>
      </c>
      <c r="B134" s="6" t="s">
        <v>170</v>
      </c>
    </row>
    <row r="135" spans="1:2" ht="15.75" x14ac:dyDescent="0.25">
      <c r="A135" s="6" t="str">
        <f>"2105"</f>
        <v>2105</v>
      </c>
      <c r="B135" s="6" t="s">
        <v>171</v>
      </c>
    </row>
    <row r="136" spans="1:2" ht="15.75" x14ac:dyDescent="0.25">
      <c r="A136" s="6" t="str">
        <f>"2107"</f>
        <v>2107</v>
      </c>
      <c r="B136" s="6" t="s">
        <v>172</v>
      </c>
    </row>
    <row r="137" spans="1:2" ht="15.75" x14ac:dyDescent="0.25">
      <c r="A137" s="6" t="str">
        <f>"2108"</f>
        <v>2108</v>
      </c>
      <c r="B137" s="6" t="s">
        <v>173</v>
      </c>
    </row>
    <row r="138" spans="1:2" ht="15.75" x14ac:dyDescent="0.25">
      <c r="A138" s="6" t="str">
        <f>"2130"</f>
        <v>2130</v>
      </c>
      <c r="B138" s="6" t="s">
        <v>174</v>
      </c>
    </row>
    <row r="139" spans="1:2" ht="15.75" x14ac:dyDescent="0.25">
      <c r="A139" s="6" t="str">
        <f>"2131"</f>
        <v>2131</v>
      </c>
      <c r="B139" s="6" t="s">
        <v>175</v>
      </c>
    </row>
    <row r="140" spans="1:2" ht="15.75" x14ac:dyDescent="0.25">
      <c r="A140" s="6" t="str">
        <f>"2132"</f>
        <v>2132</v>
      </c>
      <c r="B140" s="6" t="s">
        <v>176</v>
      </c>
    </row>
    <row r="141" spans="1:2" ht="15.75" x14ac:dyDescent="0.25">
      <c r="A141" s="6" t="str">
        <f>"2133"</f>
        <v>2133</v>
      </c>
      <c r="B141" s="6" t="s">
        <v>177</v>
      </c>
    </row>
    <row r="142" spans="1:2" ht="15.75" x14ac:dyDescent="0.25">
      <c r="A142" s="6" t="str">
        <f>"2134"</f>
        <v>2134</v>
      </c>
      <c r="B142" s="6" t="s">
        <v>178</v>
      </c>
    </row>
    <row r="143" spans="1:2" ht="15.75" x14ac:dyDescent="0.25">
      <c r="A143" s="6" t="str">
        <f>"2135"</f>
        <v>2135</v>
      </c>
      <c r="B143" s="6" t="s">
        <v>179</v>
      </c>
    </row>
    <row r="144" spans="1:2" ht="15.75" x14ac:dyDescent="0.25">
      <c r="A144" s="6" t="str">
        <f>"2136"</f>
        <v>2136</v>
      </c>
      <c r="B144" s="6" t="s">
        <v>180</v>
      </c>
    </row>
    <row r="145" spans="1:2" ht="15.75" x14ac:dyDescent="0.25">
      <c r="A145" s="6" t="str">
        <f>"2137"</f>
        <v>2137</v>
      </c>
      <c r="B145" s="6" t="s">
        <v>181</v>
      </c>
    </row>
    <row r="146" spans="1:2" ht="15.75" x14ac:dyDescent="0.25">
      <c r="A146" s="6" t="str">
        <f>"2138"</f>
        <v>2138</v>
      </c>
      <c r="B146" s="6" t="s">
        <v>182</v>
      </c>
    </row>
    <row r="147" spans="1:2" ht="15.75" x14ac:dyDescent="0.25">
      <c r="A147" s="6" t="str">
        <f>"2140"</f>
        <v>2140</v>
      </c>
      <c r="B147" s="6" t="s">
        <v>183</v>
      </c>
    </row>
    <row r="148" spans="1:2" ht="15.75" x14ac:dyDescent="0.25">
      <c r="A148" s="6" t="str">
        <f>"2170"</f>
        <v>2170</v>
      </c>
      <c r="B148" s="6" t="s">
        <v>184</v>
      </c>
    </row>
    <row r="149" spans="1:2" ht="15.75" x14ac:dyDescent="0.25">
      <c r="A149" s="6" t="str">
        <f>"2185"</f>
        <v>2185</v>
      </c>
      <c r="B149" s="6" t="s">
        <v>185</v>
      </c>
    </row>
    <row r="150" spans="1:2" ht="15.75" x14ac:dyDescent="0.25">
      <c r="A150" s="6" t="str">
        <f>"2200"</f>
        <v>2200</v>
      </c>
      <c r="B150" s="6" t="s">
        <v>186</v>
      </c>
    </row>
    <row r="151" spans="1:2" ht="15.75" x14ac:dyDescent="0.25">
      <c r="A151" s="6" t="str">
        <f>"2201"</f>
        <v>2201</v>
      </c>
      <c r="B151" s="6" t="s">
        <v>187</v>
      </c>
    </row>
    <row r="152" spans="1:2" ht="15.75" x14ac:dyDescent="0.25">
      <c r="A152" s="6" t="str">
        <f>"2202"</f>
        <v>2202</v>
      </c>
      <c r="B152" s="6" t="s">
        <v>188</v>
      </c>
    </row>
    <row r="153" spans="1:2" ht="15.75" x14ac:dyDescent="0.25">
      <c r="A153" s="6" t="str">
        <f>"2205"</f>
        <v>2205</v>
      </c>
      <c r="B153" s="6" t="s">
        <v>189</v>
      </c>
    </row>
    <row r="154" spans="1:2" ht="15.75" x14ac:dyDescent="0.25">
      <c r="A154" s="6" t="str">
        <f>"2207"</f>
        <v>2207</v>
      </c>
      <c r="B154" s="6" t="s">
        <v>190</v>
      </c>
    </row>
    <row r="155" spans="1:2" ht="15.75" x14ac:dyDescent="0.25">
      <c r="A155" s="6" t="str">
        <f>"2215"</f>
        <v>2215</v>
      </c>
      <c r="B155" s="6" t="s">
        <v>191</v>
      </c>
    </row>
    <row r="156" spans="1:2" ht="15.75" x14ac:dyDescent="0.25">
      <c r="A156" s="6" t="str">
        <f>"3005"</f>
        <v>3005</v>
      </c>
      <c r="B156" s="6" t="s">
        <v>192</v>
      </c>
    </row>
    <row r="157" spans="1:2" ht="15.75" x14ac:dyDescent="0.25">
      <c r="A157" s="6" t="str">
        <f>"3007"</f>
        <v>3007</v>
      </c>
      <c r="B157" s="6" t="s">
        <v>193</v>
      </c>
    </row>
    <row r="158" spans="1:2" ht="15.75" x14ac:dyDescent="0.25">
      <c r="A158" s="6" t="str">
        <f>"3008"</f>
        <v>3008</v>
      </c>
      <c r="B158" s="6" t="s">
        <v>194</v>
      </c>
    </row>
    <row r="159" spans="1:2" ht="15.75" x14ac:dyDescent="0.25">
      <c r="A159" s="6" t="str">
        <f>"3331"</f>
        <v>3331</v>
      </c>
      <c r="B159" s="6" t="s">
        <v>195</v>
      </c>
    </row>
    <row r="160" spans="1:2" ht="15.75" x14ac:dyDescent="0.25">
      <c r="A160" s="6" t="str">
        <f>"3333"</f>
        <v>3333</v>
      </c>
      <c r="B160" s="6" t="s">
        <v>196</v>
      </c>
    </row>
    <row r="161" spans="1:2" ht="15.75" x14ac:dyDescent="0.25">
      <c r="A161" s="6" t="str">
        <f>"3335"</f>
        <v>3335</v>
      </c>
      <c r="B161" s="6" t="s">
        <v>197</v>
      </c>
    </row>
    <row r="162" spans="1:2" ht="15.75" x14ac:dyDescent="0.25">
      <c r="A162" s="6" t="str">
        <f>"4901"</f>
        <v>4901</v>
      </c>
      <c r="B162" s="6" t="s">
        <v>198</v>
      </c>
    </row>
    <row r="163" spans="1:2" ht="15.75" x14ac:dyDescent="0.25">
      <c r="A163" s="6" t="str">
        <f>"4902"</f>
        <v>4902</v>
      </c>
      <c r="B163" s="6" t="s">
        <v>199</v>
      </c>
    </row>
    <row r="164" spans="1:2" ht="15.75" x14ac:dyDescent="0.25">
      <c r="A164" s="6" t="str">
        <f>"4903"</f>
        <v>4903</v>
      </c>
      <c r="B164" s="6" t="s">
        <v>200</v>
      </c>
    </row>
    <row r="165" spans="1:2" ht="15.75" x14ac:dyDescent="0.25">
      <c r="A165" s="6" t="str">
        <f>"4904"</f>
        <v>4904</v>
      </c>
      <c r="B165" s="6" t="s">
        <v>201</v>
      </c>
    </row>
    <row r="166" spans="1:2" ht="15.75" x14ac:dyDescent="0.25">
      <c r="A166" s="6" t="str">
        <f>"4905"</f>
        <v>4905</v>
      </c>
      <c r="B166" s="6" t="s">
        <v>202</v>
      </c>
    </row>
    <row r="167" spans="1:2" ht="15.75" x14ac:dyDescent="0.25">
      <c r="A167" s="6" t="str">
        <f>"4906"</f>
        <v>4906</v>
      </c>
      <c r="B167" s="6" t="s">
        <v>203</v>
      </c>
    </row>
    <row r="168" spans="1:2" ht="15.75" x14ac:dyDescent="0.25">
      <c r="A168" s="6" t="str">
        <f>"4907"</f>
        <v>4907</v>
      </c>
      <c r="B168" s="6" t="s">
        <v>204</v>
      </c>
    </row>
    <row r="169" spans="1:2" ht="15.75" x14ac:dyDescent="0.25">
      <c r="A169" s="6" t="str">
        <f>"4908"</f>
        <v>4908</v>
      </c>
      <c r="B169" s="6" t="s">
        <v>205</v>
      </c>
    </row>
    <row r="170" spans="1:2" ht="15.75" x14ac:dyDescent="0.25">
      <c r="A170" s="6" t="str">
        <f>"4909"</f>
        <v>4909</v>
      </c>
      <c r="B170" s="6" t="s">
        <v>206</v>
      </c>
    </row>
    <row r="171" spans="1:2" ht="15.75" x14ac:dyDescent="0.25">
      <c r="A171" s="6" t="str">
        <f>"4910"</f>
        <v>4910</v>
      </c>
      <c r="B171" s="6" t="s">
        <v>207</v>
      </c>
    </row>
    <row r="172" spans="1:2" ht="15.75" x14ac:dyDescent="0.25">
      <c r="A172" s="6" t="str">
        <f>"4911"</f>
        <v>4911</v>
      </c>
      <c r="B172" s="6" t="s">
        <v>208</v>
      </c>
    </row>
    <row r="173" spans="1:2" ht="15.75" x14ac:dyDescent="0.25">
      <c r="A173" s="6" t="str">
        <f>"4912"</f>
        <v>4912</v>
      </c>
      <c r="B173" s="6" t="s">
        <v>209</v>
      </c>
    </row>
    <row r="174" spans="1:2" ht="15.75" x14ac:dyDescent="0.25">
      <c r="A174" s="6" t="str">
        <f>"4913"</f>
        <v>4913</v>
      </c>
      <c r="B174" s="6" t="s">
        <v>210</v>
      </c>
    </row>
    <row r="175" spans="1:2" ht="15.75" x14ac:dyDescent="0.25">
      <c r="A175" s="6" t="str">
        <f>"4914"</f>
        <v>4914</v>
      </c>
      <c r="B175" s="6" t="s">
        <v>211</v>
      </c>
    </row>
    <row r="176" spans="1:2" ht="15.75" x14ac:dyDescent="0.25">
      <c r="A176" s="6" t="str">
        <f>"4915"</f>
        <v>4915</v>
      </c>
      <c r="B176" s="6" t="s">
        <v>212</v>
      </c>
    </row>
    <row r="177" spans="1:2" ht="15.75" x14ac:dyDescent="0.25">
      <c r="A177" s="6" t="str">
        <f>"4916"</f>
        <v>4916</v>
      </c>
      <c r="B177" s="6" t="s">
        <v>213</v>
      </c>
    </row>
    <row r="178" spans="1:2" ht="15.75" x14ac:dyDescent="0.25">
      <c r="A178" s="6" t="str">
        <f>"4917"</f>
        <v>4917</v>
      </c>
      <c r="B178" s="6" t="s">
        <v>214</v>
      </c>
    </row>
    <row r="179" spans="1:2" ht="15.75" x14ac:dyDescent="0.25">
      <c r="A179" s="6" t="str">
        <f>"4918"</f>
        <v>4918</v>
      </c>
      <c r="B179" s="6" t="s">
        <v>215</v>
      </c>
    </row>
    <row r="180" spans="1:2" ht="15.75" x14ac:dyDescent="0.25">
      <c r="A180" s="6" t="str">
        <f>"4919"</f>
        <v>4919</v>
      </c>
      <c r="B180" s="6" t="s">
        <v>216</v>
      </c>
    </row>
    <row r="181" spans="1:2" ht="15.75" x14ac:dyDescent="0.25">
      <c r="A181" s="6" t="str">
        <f>"4920"</f>
        <v>4920</v>
      </c>
      <c r="B181" s="6" t="s">
        <v>217</v>
      </c>
    </row>
    <row r="182" spans="1:2" ht="15.75" x14ac:dyDescent="0.25">
      <c r="A182" s="6" t="str">
        <f>"4921"</f>
        <v>4921</v>
      </c>
      <c r="B182" s="6" t="s">
        <v>218</v>
      </c>
    </row>
    <row r="183" spans="1:2" ht="15.75" x14ac:dyDescent="0.25">
      <c r="A183" s="6" t="str">
        <f>"4922"</f>
        <v>4922</v>
      </c>
      <c r="B183" s="6" t="s">
        <v>219</v>
      </c>
    </row>
    <row r="184" spans="1:2" ht="15.75" x14ac:dyDescent="0.25">
      <c r="A184" s="6" t="str">
        <f>"4924"</f>
        <v>4924</v>
      </c>
      <c r="B184" s="6" t="s">
        <v>220</v>
      </c>
    </row>
    <row r="185" spans="1:2" ht="15.75" x14ac:dyDescent="0.25">
      <c r="A185" s="6" t="str">
        <f>"4925"</f>
        <v>4925</v>
      </c>
      <c r="B185" s="6" t="s">
        <v>221</v>
      </c>
    </row>
    <row r="186" spans="1:2" ht="15.75" x14ac:dyDescent="0.25">
      <c r="A186" s="6" t="str">
        <f>"4926"</f>
        <v>4926</v>
      </c>
      <c r="B186" s="6" t="s">
        <v>222</v>
      </c>
    </row>
    <row r="187" spans="1:2" ht="15.75" x14ac:dyDescent="0.25">
      <c r="A187" s="6" t="str">
        <f>"4930"</f>
        <v>4930</v>
      </c>
      <c r="B187" s="6" t="s">
        <v>223</v>
      </c>
    </row>
    <row r="188" spans="1:2" ht="15.75" x14ac:dyDescent="0.25">
      <c r="A188" s="6" t="str">
        <f>"4931"</f>
        <v>4931</v>
      </c>
      <c r="B188" s="6" t="s">
        <v>224</v>
      </c>
    </row>
    <row r="189" spans="1:2" ht="15.75" x14ac:dyDescent="0.25">
      <c r="A189" s="6" t="str">
        <f>"4932"</f>
        <v>4932</v>
      </c>
      <c r="B189" s="6" t="s">
        <v>225</v>
      </c>
    </row>
    <row r="190" spans="1:2" ht="15.75" x14ac:dyDescent="0.25">
      <c r="A190" s="6" t="str">
        <f>"4933"</f>
        <v>4933</v>
      </c>
      <c r="B190" s="6" t="s">
        <v>226</v>
      </c>
    </row>
    <row r="191" spans="1:2" ht="15.75" x14ac:dyDescent="0.25">
      <c r="A191" s="6" t="str">
        <f>"4934"</f>
        <v>4934</v>
      </c>
      <c r="B191" s="6" t="s">
        <v>227</v>
      </c>
    </row>
    <row r="192" spans="1:2" ht="15.75" x14ac:dyDescent="0.25">
      <c r="A192" s="6" t="str">
        <f>"4935"</f>
        <v>4935</v>
      </c>
      <c r="B192" s="6" t="s">
        <v>228</v>
      </c>
    </row>
    <row r="193" spans="1:2" ht="15.75" x14ac:dyDescent="0.25">
      <c r="A193" s="6" t="str">
        <f>"4936"</f>
        <v>4936</v>
      </c>
      <c r="B193" s="6" t="s">
        <v>229</v>
      </c>
    </row>
    <row r="194" spans="1:2" ht="15.75" x14ac:dyDescent="0.25">
      <c r="A194" s="6" t="str">
        <f>"4940"</f>
        <v>4940</v>
      </c>
      <c r="B194" s="6" t="s">
        <v>230</v>
      </c>
    </row>
    <row r="195" spans="1:2" ht="15.75" x14ac:dyDescent="0.25">
      <c r="A195" s="6" t="str">
        <f>"4941"</f>
        <v>4941</v>
      </c>
      <c r="B195" s="6" t="s">
        <v>231</v>
      </c>
    </row>
    <row r="196" spans="1:2" ht="15.75" x14ac:dyDescent="0.25">
      <c r="A196" s="6" t="str">
        <f>"4942"</f>
        <v>4942</v>
      </c>
      <c r="B196" s="6" t="s">
        <v>232</v>
      </c>
    </row>
    <row r="197" spans="1:2" ht="15.75" x14ac:dyDescent="0.25">
      <c r="A197" s="6" t="str">
        <f>"4943"</f>
        <v>4943</v>
      </c>
      <c r="B197" s="6" t="s">
        <v>233</v>
      </c>
    </row>
    <row r="198" spans="1:2" ht="15.75" x14ac:dyDescent="0.25">
      <c r="A198" s="6" t="str">
        <f>"4944"</f>
        <v>4944</v>
      </c>
      <c r="B198" s="6" t="s">
        <v>234</v>
      </c>
    </row>
    <row r="199" spans="1:2" ht="15.75" x14ac:dyDescent="0.25">
      <c r="A199" s="6" t="str">
        <f>"4945"</f>
        <v>4945</v>
      </c>
      <c r="B199" s="6" t="s">
        <v>235</v>
      </c>
    </row>
    <row r="200" spans="1:2" ht="15.75" x14ac:dyDescent="0.25">
      <c r="A200" s="6" t="str">
        <f>"4960"</f>
        <v>4960</v>
      </c>
      <c r="B200" s="6" t="s">
        <v>236</v>
      </c>
    </row>
    <row r="201" spans="1:2" ht="15.75" x14ac:dyDescent="0.25">
      <c r="A201" s="6" t="str">
        <f>"4961"</f>
        <v>4961</v>
      </c>
      <c r="B201" s="6" t="s">
        <v>237</v>
      </c>
    </row>
    <row r="202" spans="1:2" ht="15.75" x14ac:dyDescent="0.25">
      <c r="A202" s="6" t="str">
        <f>"4962"</f>
        <v>4962</v>
      </c>
      <c r="B202" s="6" t="s">
        <v>238</v>
      </c>
    </row>
    <row r="203" spans="1:2" ht="15.75" x14ac:dyDescent="0.25">
      <c r="A203" s="6" t="str">
        <f>"4963"</f>
        <v>4963</v>
      </c>
      <c r="B203" s="6" t="s">
        <v>239</v>
      </c>
    </row>
    <row r="204" spans="1:2" ht="15.75" x14ac:dyDescent="0.25">
      <c r="A204" s="6" t="str">
        <f>"4968"</f>
        <v>4968</v>
      </c>
      <c r="B204" s="6" t="s">
        <v>240</v>
      </c>
    </row>
    <row r="205" spans="1:2" ht="15.75" x14ac:dyDescent="0.25">
      <c r="A205" s="6" t="str">
        <f>"4971"</f>
        <v>4971</v>
      </c>
      <c r="B205" s="6" t="s">
        <v>241</v>
      </c>
    </row>
    <row r="206" spans="1:2" ht="15.75" x14ac:dyDescent="0.25">
      <c r="A206" s="6" t="str">
        <f>"4977"</f>
        <v>4977</v>
      </c>
      <c r="B206" s="6" t="s">
        <v>242</v>
      </c>
    </row>
    <row r="207" spans="1:2" ht="15.75" x14ac:dyDescent="0.25">
      <c r="A207" s="6" t="str">
        <f>"4980"</f>
        <v>4980</v>
      </c>
      <c r="B207" s="6" t="s">
        <v>243</v>
      </c>
    </row>
    <row r="208" spans="1:2" ht="15.75" x14ac:dyDescent="0.25">
      <c r="A208" s="6" t="str">
        <f>"4981"</f>
        <v>4981</v>
      </c>
      <c r="B208" s="6" t="s">
        <v>244</v>
      </c>
    </row>
    <row r="209" spans="1:2" ht="15.75" x14ac:dyDescent="0.25">
      <c r="A209" s="6" t="str">
        <f>"4984"</f>
        <v>4984</v>
      </c>
      <c r="B209" s="6" t="s">
        <v>245</v>
      </c>
    </row>
    <row r="210" spans="1:2" ht="15.75" x14ac:dyDescent="0.25">
      <c r="A210" s="6" t="str">
        <f>"4985"</f>
        <v>4985</v>
      </c>
      <c r="B210" s="6" t="s">
        <v>246</v>
      </c>
    </row>
    <row r="211" spans="1:2" ht="15.75" x14ac:dyDescent="0.25">
      <c r="A211" s="6" t="str">
        <f>"4990"</f>
        <v>4990</v>
      </c>
      <c r="B211" s="6" t="s">
        <v>247</v>
      </c>
    </row>
    <row r="212" spans="1:2" ht="15.75" x14ac:dyDescent="0.25">
      <c r="A212" s="6" t="str">
        <f>"4991"</f>
        <v>4991</v>
      </c>
      <c r="B212" s="6" t="s">
        <v>248</v>
      </c>
    </row>
    <row r="213" spans="1:2" ht="15.75" x14ac:dyDescent="0.25">
      <c r="A213" s="6" t="str">
        <f>"4992"</f>
        <v>4992</v>
      </c>
      <c r="B213" s="6" t="s">
        <v>249</v>
      </c>
    </row>
    <row r="214" spans="1:2" ht="15.75" x14ac:dyDescent="0.25">
      <c r="A214" s="6" t="str">
        <f>"4993"</f>
        <v>4993</v>
      </c>
      <c r="B214" s="6" t="s">
        <v>250</v>
      </c>
    </row>
    <row r="215" spans="1:2" ht="15.75" x14ac:dyDescent="0.25">
      <c r="A215" s="6" t="str">
        <f>"4994"</f>
        <v>4994</v>
      </c>
      <c r="B215" s="6" t="s">
        <v>251</v>
      </c>
    </row>
    <row r="216" spans="1:2" ht="15.75" x14ac:dyDescent="0.25">
      <c r="A216" s="6" t="str">
        <f>"4995"</f>
        <v>4995</v>
      </c>
      <c r="B216" s="6" t="s">
        <v>252</v>
      </c>
    </row>
    <row r="217" spans="1:2" ht="15.75" x14ac:dyDescent="0.25">
      <c r="A217" s="6" t="str">
        <f>"4996"</f>
        <v>4996</v>
      </c>
      <c r="B217" s="6" t="s">
        <v>253</v>
      </c>
    </row>
    <row r="218" spans="1:2" ht="15.75" x14ac:dyDescent="0.25">
      <c r="A218" s="6" t="str">
        <f>"4997"</f>
        <v>4997</v>
      </c>
      <c r="B218" s="6" t="s">
        <v>254</v>
      </c>
    </row>
    <row r="219" spans="1:2" ht="15.75" x14ac:dyDescent="0.25">
      <c r="A219" s="6" t="str">
        <f>"4998"</f>
        <v>4998</v>
      </c>
      <c r="B219" s="6" t="s">
        <v>255</v>
      </c>
    </row>
    <row r="220" spans="1:2" ht="15.75" x14ac:dyDescent="0.25">
      <c r="A220" s="6" t="str">
        <f>"4999"</f>
        <v>4999</v>
      </c>
      <c r="B220" s="6" t="s">
        <v>256</v>
      </c>
    </row>
    <row r="221" spans="1:2" ht="15.75" x14ac:dyDescent="0.25">
      <c r="A221" s="6" t="str">
        <f>"5990"</f>
        <v>5990</v>
      </c>
      <c r="B221" s="6" t="s">
        <v>257</v>
      </c>
    </row>
    <row r="222" spans="1:2" ht="15.75" x14ac:dyDescent="0.25">
      <c r="A222" s="6" t="str">
        <f>"5992"</f>
        <v>5992</v>
      </c>
      <c r="B222" s="6" t="s">
        <v>258</v>
      </c>
    </row>
    <row r="223" spans="1:2" ht="15.75" x14ac:dyDescent="0.25">
      <c r="A223" s="6" t="str">
        <f>"6001"</f>
        <v>6001</v>
      </c>
      <c r="B223" s="6" t="s">
        <v>259</v>
      </c>
    </row>
    <row r="224" spans="1:2" ht="15.75" x14ac:dyDescent="0.25">
      <c r="A224" s="6" t="str">
        <f>"6002"</f>
        <v>6002</v>
      </c>
      <c r="B224" s="6" t="s">
        <v>260</v>
      </c>
    </row>
    <row r="225" spans="1:2" ht="15.75" x14ac:dyDescent="0.25">
      <c r="A225" s="6" t="str">
        <f>"6003"</f>
        <v>6003</v>
      </c>
      <c r="B225" s="6" t="s">
        <v>261</v>
      </c>
    </row>
    <row r="226" spans="1:2" ht="15.75" x14ac:dyDescent="0.25">
      <c r="A226" s="6" t="str">
        <f>"6004"</f>
        <v>6004</v>
      </c>
      <c r="B226" s="6" t="s">
        <v>262</v>
      </c>
    </row>
    <row r="227" spans="1:2" ht="15.75" x14ac:dyDescent="0.25">
      <c r="A227" s="6" t="str">
        <f>"6005"</f>
        <v>6005</v>
      </c>
      <c r="B227" s="6" t="s">
        <v>263</v>
      </c>
    </row>
    <row r="228" spans="1:2" ht="15.75" x14ac:dyDescent="0.25">
      <c r="A228" s="6" t="str">
        <f>"6006"</f>
        <v>6006</v>
      </c>
      <c r="B228" s="6" t="s">
        <v>264</v>
      </c>
    </row>
    <row r="229" spans="1:2" ht="15.75" x14ac:dyDescent="0.25">
      <c r="A229" s="6" t="str">
        <f>"6007"</f>
        <v>6007</v>
      </c>
      <c r="B229" s="6" t="s">
        <v>265</v>
      </c>
    </row>
    <row r="230" spans="1:2" ht="15.75" x14ac:dyDescent="0.25">
      <c r="A230" s="6" t="str">
        <f>"6009"</f>
        <v>6009</v>
      </c>
      <c r="B230" s="6" t="s">
        <v>216</v>
      </c>
    </row>
    <row r="231" spans="1:2" ht="15.75" x14ac:dyDescent="0.25">
      <c r="A231" s="6" t="str">
        <f>"6010"</f>
        <v>6010</v>
      </c>
      <c r="B231" s="6" t="s">
        <v>266</v>
      </c>
    </row>
    <row r="232" spans="1:2" ht="15.75" x14ac:dyDescent="0.25">
      <c r="A232" s="6" t="str">
        <f>"6011"</f>
        <v>6011</v>
      </c>
      <c r="B232" s="6" t="s">
        <v>267</v>
      </c>
    </row>
    <row r="233" spans="1:2" ht="15.75" x14ac:dyDescent="0.25">
      <c r="A233" s="6" t="str">
        <f>"6012"</f>
        <v>6012</v>
      </c>
      <c r="B233" s="6" t="s">
        <v>268</v>
      </c>
    </row>
    <row r="234" spans="1:2" ht="15.75" x14ac:dyDescent="0.25">
      <c r="A234" s="6" t="str">
        <f>"6013"</f>
        <v>6013</v>
      </c>
      <c r="B234" s="6" t="s">
        <v>269</v>
      </c>
    </row>
    <row r="235" spans="1:2" ht="15.75" x14ac:dyDescent="0.25">
      <c r="A235" s="6" t="str">
        <f>"6014"</f>
        <v>6014</v>
      </c>
      <c r="B235" s="6" t="s">
        <v>270</v>
      </c>
    </row>
    <row r="236" spans="1:2" ht="15.75" x14ac:dyDescent="0.25">
      <c r="A236" s="6" t="str">
        <f>"6015"</f>
        <v>6015</v>
      </c>
      <c r="B236" s="6" t="s">
        <v>271</v>
      </c>
    </row>
    <row r="237" spans="1:2" ht="15.75" x14ac:dyDescent="0.25">
      <c r="A237" s="6" t="str">
        <f>"6016"</f>
        <v>6016</v>
      </c>
      <c r="B237" s="6" t="s">
        <v>272</v>
      </c>
    </row>
    <row r="238" spans="1:2" ht="15.75" x14ac:dyDescent="0.25">
      <c r="A238" s="6" t="str">
        <f>"6017"</f>
        <v>6017</v>
      </c>
      <c r="B238" s="6" t="s">
        <v>273</v>
      </c>
    </row>
    <row r="239" spans="1:2" ht="15.75" x14ac:dyDescent="0.25">
      <c r="A239" s="6" t="str">
        <f>"6018"</f>
        <v>6018</v>
      </c>
      <c r="B239" s="6" t="s">
        <v>274</v>
      </c>
    </row>
    <row r="240" spans="1:2" ht="15.75" x14ac:dyDescent="0.25">
      <c r="A240" s="6" t="str">
        <f>"6019"</f>
        <v>6019</v>
      </c>
      <c r="B240" s="6" t="s">
        <v>275</v>
      </c>
    </row>
    <row r="241" spans="1:2" ht="15.75" x14ac:dyDescent="0.25">
      <c r="A241" s="6" t="str">
        <f>"6020"</f>
        <v>6020</v>
      </c>
      <c r="B241" s="6" t="s">
        <v>276</v>
      </c>
    </row>
    <row r="242" spans="1:2" ht="15.75" x14ac:dyDescent="0.25">
      <c r="A242" s="6" t="str">
        <f>"6022"</f>
        <v>6022</v>
      </c>
      <c r="B242" s="6" t="s">
        <v>277</v>
      </c>
    </row>
    <row r="243" spans="1:2" ht="15.75" x14ac:dyDescent="0.25">
      <c r="A243" s="6" t="str">
        <f>"6028"</f>
        <v>6028</v>
      </c>
      <c r="B243" s="6" t="s">
        <v>278</v>
      </c>
    </row>
    <row r="244" spans="1:2" ht="15.75" x14ac:dyDescent="0.25">
      <c r="A244" s="6" t="str">
        <f>"6031"</f>
        <v>6031</v>
      </c>
      <c r="B244" s="6" t="s">
        <v>279</v>
      </c>
    </row>
    <row r="245" spans="1:2" ht="15.75" x14ac:dyDescent="0.25">
      <c r="A245" s="6" t="str">
        <f>"6032"</f>
        <v>6032</v>
      </c>
      <c r="B245" s="6" t="s">
        <v>280</v>
      </c>
    </row>
    <row r="246" spans="1:2" ht="15.75" x14ac:dyDescent="0.25">
      <c r="A246" s="6" t="str">
        <f>"6033"</f>
        <v>6033</v>
      </c>
      <c r="B246" s="6" t="s">
        <v>281</v>
      </c>
    </row>
    <row r="247" spans="1:2" ht="15.75" x14ac:dyDescent="0.25">
      <c r="A247" s="6" t="str">
        <f>"6034"</f>
        <v>6034</v>
      </c>
      <c r="B247" s="6" t="s">
        <v>282</v>
      </c>
    </row>
    <row r="248" spans="1:2" ht="15.75" x14ac:dyDescent="0.25">
      <c r="A248" s="6" t="str">
        <f>"6039"</f>
        <v>6039</v>
      </c>
      <c r="B248" s="6" t="s">
        <v>283</v>
      </c>
    </row>
    <row r="249" spans="1:2" ht="15.75" x14ac:dyDescent="0.25">
      <c r="A249" s="6" t="str">
        <f>"6041"</f>
        <v>6041</v>
      </c>
      <c r="B249" s="6" t="s">
        <v>284</v>
      </c>
    </row>
    <row r="250" spans="1:2" ht="15.75" x14ac:dyDescent="0.25">
      <c r="A250" s="6" t="str">
        <f>"6043"</f>
        <v>6043</v>
      </c>
      <c r="B250" s="6" t="s">
        <v>285</v>
      </c>
    </row>
    <row r="251" spans="1:2" ht="15.75" x14ac:dyDescent="0.25">
      <c r="A251" s="6" t="str">
        <f>"6044"</f>
        <v>6044</v>
      </c>
      <c r="B251" s="6" t="s">
        <v>286</v>
      </c>
    </row>
    <row r="252" spans="1:2" ht="15.75" x14ac:dyDescent="0.25">
      <c r="A252" s="6" t="str">
        <f>"6045"</f>
        <v>6045</v>
      </c>
      <c r="B252" s="6" t="s">
        <v>287</v>
      </c>
    </row>
    <row r="253" spans="1:2" ht="15.75" x14ac:dyDescent="0.25">
      <c r="A253" s="6" t="str">
        <f>"6046"</f>
        <v>6046</v>
      </c>
      <c r="B253" s="6" t="s">
        <v>288</v>
      </c>
    </row>
    <row r="254" spans="1:2" ht="15.75" x14ac:dyDescent="0.25">
      <c r="A254" s="6" t="str">
        <f>"6047"</f>
        <v>6047</v>
      </c>
      <c r="B254" s="6" t="s">
        <v>289</v>
      </c>
    </row>
    <row r="255" spans="1:2" ht="15.75" x14ac:dyDescent="0.25">
      <c r="A255" s="6" t="str">
        <f>"6048"</f>
        <v>6048</v>
      </c>
      <c r="B255" s="6" t="s">
        <v>290</v>
      </c>
    </row>
    <row r="256" spans="1:2" ht="15.75" x14ac:dyDescent="0.25">
      <c r="A256" s="6" t="str">
        <f>"6049"</f>
        <v>6049</v>
      </c>
      <c r="B256" s="6" t="s">
        <v>291</v>
      </c>
    </row>
    <row r="257" spans="1:2" ht="15.75" x14ac:dyDescent="0.25">
      <c r="A257" s="6" t="str">
        <f>"6050"</f>
        <v>6050</v>
      </c>
      <c r="B257" s="6" t="s">
        <v>292</v>
      </c>
    </row>
    <row r="258" spans="1:2" ht="15.75" x14ac:dyDescent="0.25">
      <c r="A258" s="6" t="str">
        <f>"6051"</f>
        <v>6051</v>
      </c>
      <c r="B258" s="6" t="s">
        <v>293</v>
      </c>
    </row>
    <row r="259" spans="1:2" ht="15.75" x14ac:dyDescent="0.25">
      <c r="A259" s="6" t="str">
        <f>"6052"</f>
        <v>6052</v>
      </c>
      <c r="B259" s="6" t="s">
        <v>294</v>
      </c>
    </row>
    <row r="260" spans="1:2" ht="15.75" x14ac:dyDescent="0.25">
      <c r="A260" s="6" t="str">
        <f>"6054"</f>
        <v>6054</v>
      </c>
      <c r="B260" s="6" t="s">
        <v>295</v>
      </c>
    </row>
    <row r="261" spans="1:2" ht="15.75" x14ac:dyDescent="0.25">
      <c r="A261" s="6" t="str">
        <f>"6055"</f>
        <v>6055</v>
      </c>
      <c r="B261" s="6" t="s">
        <v>296</v>
      </c>
    </row>
    <row r="262" spans="1:2" ht="15.75" x14ac:dyDescent="0.25">
      <c r="A262" s="6" t="str">
        <f>"6057"</f>
        <v>6057</v>
      </c>
      <c r="B262" s="6" t="s">
        <v>297</v>
      </c>
    </row>
    <row r="263" spans="1:2" ht="15.75" x14ac:dyDescent="0.25">
      <c r="A263" s="6" t="str">
        <f>"6058"</f>
        <v>6058</v>
      </c>
      <c r="B263" s="6" t="s">
        <v>298</v>
      </c>
    </row>
    <row r="264" spans="1:2" ht="15.75" x14ac:dyDescent="0.25">
      <c r="A264" s="6" t="str">
        <f>"6059"</f>
        <v>6059</v>
      </c>
      <c r="B264" s="6" t="s">
        <v>299</v>
      </c>
    </row>
    <row r="265" spans="1:2" ht="15.75" x14ac:dyDescent="0.25">
      <c r="A265" s="6" t="str">
        <f>"6061"</f>
        <v>6061</v>
      </c>
      <c r="B265" s="6" t="s">
        <v>300</v>
      </c>
    </row>
    <row r="266" spans="1:2" ht="15.75" x14ac:dyDescent="0.25">
      <c r="A266" s="6" t="str">
        <f>"6062"</f>
        <v>6062</v>
      </c>
      <c r="B266" s="6" t="s">
        <v>238</v>
      </c>
    </row>
    <row r="267" spans="1:2" ht="15.75" x14ac:dyDescent="0.25">
      <c r="A267" s="6" t="str">
        <f>"6063"</f>
        <v>6063</v>
      </c>
      <c r="B267" s="6" t="s">
        <v>301</v>
      </c>
    </row>
    <row r="268" spans="1:2" ht="15.75" x14ac:dyDescent="0.25">
      <c r="A268" s="6" t="str">
        <f>"6064"</f>
        <v>6064</v>
      </c>
      <c r="B268" s="6" t="s">
        <v>302</v>
      </c>
    </row>
    <row r="269" spans="1:2" ht="15.75" x14ac:dyDescent="0.25">
      <c r="A269" s="6" t="str">
        <f>"6065"</f>
        <v>6065</v>
      </c>
      <c r="B269" s="6" t="s">
        <v>130</v>
      </c>
    </row>
    <row r="270" spans="1:2" ht="15.75" x14ac:dyDescent="0.25">
      <c r="A270" s="6" t="str">
        <f>"6066"</f>
        <v>6066</v>
      </c>
      <c r="B270" s="6" t="s">
        <v>303</v>
      </c>
    </row>
    <row r="271" spans="1:2" ht="15.75" x14ac:dyDescent="0.25">
      <c r="A271" s="6" t="str">
        <f>"6067"</f>
        <v>6067</v>
      </c>
      <c r="B271" s="6" t="s">
        <v>304</v>
      </c>
    </row>
    <row r="272" spans="1:2" ht="15.75" x14ac:dyDescent="0.25">
      <c r="A272" s="6" t="str">
        <f>"6071"</f>
        <v>6071</v>
      </c>
      <c r="B272" s="6" t="s">
        <v>305</v>
      </c>
    </row>
    <row r="273" spans="1:2" ht="15.75" x14ac:dyDescent="0.25">
      <c r="A273" s="6" t="str">
        <f>"6072"</f>
        <v>6072</v>
      </c>
      <c r="B273" s="6" t="s">
        <v>306</v>
      </c>
    </row>
    <row r="274" spans="1:2" ht="15.75" x14ac:dyDescent="0.25">
      <c r="A274" s="6" t="str">
        <f>"6073"</f>
        <v>6073</v>
      </c>
      <c r="B274" s="6" t="s">
        <v>307</v>
      </c>
    </row>
    <row r="275" spans="1:2" ht="15.75" x14ac:dyDescent="0.25">
      <c r="A275" s="6" t="str">
        <f>"6074"</f>
        <v>6074</v>
      </c>
      <c r="B275" s="6" t="s">
        <v>308</v>
      </c>
    </row>
    <row r="276" spans="1:2" ht="15.75" x14ac:dyDescent="0.25">
      <c r="A276" s="6" t="str">
        <f>"6075"</f>
        <v>6075</v>
      </c>
      <c r="B276" s="6" t="s">
        <v>309</v>
      </c>
    </row>
    <row r="277" spans="1:2" ht="15.75" x14ac:dyDescent="0.25">
      <c r="A277" s="6" t="str">
        <f>"6076"</f>
        <v>6076</v>
      </c>
      <c r="B277" s="6" t="s">
        <v>310</v>
      </c>
    </row>
    <row r="278" spans="1:2" ht="15.75" x14ac:dyDescent="0.25">
      <c r="A278" s="6" t="str">
        <f>"6077"</f>
        <v>6077</v>
      </c>
      <c r="B278" s="6" t="s">
        <v>311</v>
      </c>
    </row>
    <row r="279" spans="1:2" ht="15.75" x14ac:dyDescent="0.25">
      <c r="A279" s="6" t="str">
        <f>"6078"</f>
        <v>6078</v>
      </c>
      <c r="B279" s="6" t="s">
        <v>312</v>
      </c>
    </row>
    <row r="280" spans="1:2" ht="15.75" x14ac:dyDescent="0.25">
      <c r="A280" s="6" t="str">
        <f>"6079"</f>
        <v>6079</v>
      </c>
      <c r="B280" s="6" t="s">
        <v>313</v>
      </c>
    </row>
    <row r="281" spans="1:2" ht="15.75" x14ac:dyDescent="0.25">
      <c r="A281" s="6" t="str">
        <f>"6082"</f>
        <v>6082</v>
      </c>
      <c r="B281" s="6" t="s">
        <v>314</v>
      </c>
    </row>
    <row r="282" spans="1:2" ht="15.75" x14ac:dyDescent="0.25">
      <c r="A282" s="6" t="str">
        <f>"6083"</f>
        <v>6083</v>
      </c>
      <c r="B282" s="6" t="s">
        <v>315</v>
      </c>
    </row>
    <row r="283" spans="1:2" ht="15.75" x14ac:dyDescent="0.25">
      <c r="A283" s="6" t="str">
        <f>"6084"</f>
        <v>6084</v>
      </c>
      <c r="B283" s="6" t="s">
        <v>316</v>
      </c>
    </row>
    <row r="284" spans="1:2" ht="15.75" x14ac:dyDescent="0.25">
      <c r="A284" s="6" t="str">
        <f>"6090"</f>
        <v>6090</v>
      </c>
      <c r="B284" s="6" t="s">
        <v>317</v>
      </c>
    </row>
    <row r="285" spans="1:2" ht="15.75" x14ac:dyDescent="0.25">
      <c r="A285" s="6" t="str">
        <f>"6091"</f>
        <v>6091</v>
      </c>
      <c r="B285" s="6" t="s">
        <v>318</v>
      </c>
    </row>
    <row r="286" spans="1:2" ht="15.75" x14ac:dyDescent="0.25">
      <c r="A286" s="6" t="str">
        <f>"6092"</f>
        <v>6092</v>
      </c>
      <c r="B286" s="6" t="s">
        <v>319</v>
      </c>
    </row>
    <row r="287" spans="1:2" ht="15.75" x14ac:dyDescent="0.25">
      <c r="A287" s="6" t="str">
        <f>"6110"</f>
        <v>6110</v>
      </c>
      <c r="B287" s="6" t="s">
        <v>320</v>
      </c>
    </row>
    <row r="288" spans="1:2" ht="15.75" x14ac:dyDescent="0.25">
      <c r="A288" s="6" t="str">
        <f>"6111"</f>
        <v>6111</v>
      </c>
      <c r="B288" s="6" t="s">
        <v>321</v>
      </c>
    </row>
    <row r="289" spans="1:2" ht="15.75" x14ac:dyDescent="0.25">
      <c r="A289" s="6" t="str">
        <f>"6112"</f>
        <v>6112</v>
      </c>
      <c r="B289" s="6" t="s">
        <v>322</v>
      </c>
    </row>
    <row r="290" spans="1:2" ht="15.75" x14ac:dyDescent="0.25">
      <c r="A290" s="6" t="str">
        <f>"6120"</f>
        <v>6120</v>
      </c>
      <c r="B290" s="6" t="s">
        <v>323</v>
      </c>
    </row>
    <row r="291" spans="1:2" ht="15.75" x14ac:dyDescent="0.25">
      <c r="A291" s="6" t="str">
        <f>"6121"</f>
        <v>6121</v>
      </c>
      <c r="B291" s="6" t="s">
        <v>324</v>
      </c>
    </row>
    <row r="292" spans="1:2" ht="15.75" x14ac:dyDescent="0.25">
      <c r="A292" s="6" t="str">
        <f>"6123"</f>
        <v>6123</v>
      </c>
      <c r="B292" s="6" t="s">
        <v>325</v>
      </c>
    </row>
    <row r="293" spans="1:2" ht="15.75" x14ac:dyDescent="0.25">
      <c r="A293" s="6" t="str">
        <f>"6124"</f>
        <v>6124</v>
      </c>
      <c r="B293" s="6" t="s">
        <v>201</v>
      </c>
    </row>
    <row r="294" spans="1:2" ht="15.75" x14ac:dyDescent="0.25">
      <c r="A294" s="6" t="str">
        <f>"6130"</f>
        <v>6130</v>
      </c>
      <c r="B294" s="6" t="s">
        <v>326</v>
      </c>
    </row>
    <row r="295" spans="1:2" ht="15.75" x14ac:dyDescent="0.25">
      <c r="A295" s="6" t="str">
        <f>"6131"</f>
        <v>6131</v>
      </c>
      <c r="B295" s="6" t="s">
        <v>327</v>
      </c>
    </row>
    <row r="296" spans="1:2" ht="15.75" x14ac:dyDescent="0.25">
      <c r="A296" s="6" t="str">
        <f>"6132"</f>
        <v>6132</v>
      </c>
      <c r="B296" s="6" t="s">
        <v>328</v>
      </c>
    </row>
    <row r="297" spans="1:2" ht="15.75" x14ac:dyDescent="0.25">
      <c r="A297" s="6" t="str">
        <f>"6133"</f>
        <v>6133</v>
      </c>
      <c r="B297" s="6" t="s">
        <v>329</v>
      </c>
    </row>
    <row r="298" spans="1:2" ht="15.75" x14ac:dyDescent="0.25">
      <c r="A298" s="6" t="str">
        <f>"6141"</f>
        <v>6141</v>
      </c>
      <c r="B298" s="6" t="s">
        <v>330</v>
      </c>
    </row>
    <row r="299" spans="1:2" ht="15.75" x14ac:dyDescent="0.25">
      <c r="A299" s="6" t="str">
        <f>"6191"</f>
        <v>6191</v>
      </c>
      <c r="B299" s="6" t="s">
        <v>331</v>
      </c>
    </row>
    <row r="300" spans="1:2" ht="15.75" x14ac:dyDescent="0.25">
      <c r="A300" s="6" t="str">
        <f>"6194"</f>
        <v>6194</v>
      </c>
      <c r="B300" s="6" t="s">
        <v>332</v>
      </c>
    </row>
    <row r="301" spans="1:2" ht="15.75" x14ac:dyDescent="0.25">
      <c r="A301" s="6" t="str">
        <f>"6200"</f>
        <v>6200</v>
      </c>
      <c r="B301" s="6" t="s">
        <v>333</v>
      </c>
    </row>
    <row r="302" spans="1:2" ht="15.75" x14ac:dyDescent="0.25">
      <c r="A302" s="6" t="str">
        <f>"6201"</f>
        <v>6201</v>
      </c>
      <c r="B302" s="6" t="s">
        <v>334</v>
      </c>
    </row>
    <row r="303" spans="1:2" ht="15.75" x14ac:dyDescent="0.25">
      <c r="A303" s="6" t="str">
        <f>"6202"</f>
        <v>6202</v>
      </c>
      <c r="B303" s="6" t="s">
        <v>335</v>
      </c>
    </row>
    <row r="304" spans="1:2" ht="15.75" x14ac:dyDescent="0.25">
      <c r="A304" s="6" t="str">
        <f>"6203"</f>
        <v>6203</v>
      </c>
      <c r="B304" s="6" t="s">
        <v>336</v>
      </c>
    </row>
    <row r="305" spans="1:2" ht="15.75" x14ac:dyDescent="0.25">
      <c r="A305" s="6" t="str">
        <f>"6300"</f>
        <v>6300</v>
      </c>
      <c r="B305" s="6" t="s">
        <v>337</v>
      </c>
    </row>
    <row r="306" spans="1:2" ht="15.75" x14ac:dyDescent="0.25">
      <c r="A306" s="6" t="str">
        <f>"6302"</f>
        <v>6302</v>
      </c>
      <c r="B306" s="6" t="s">
        <v>338</v>
      </c>
    </row>
    <row r="307" spans="1:2" ht="15.75" x14ac:dyDescent="0.25">
      <c r="A307" s="6" t="str">
        <f>"6303"</f>
        <v>6303</v>
      </c>
      <c r="B307" s="6" t="s">
        <v>236</v>
      </c>
    </row>
    <row r="308" spans="1:2" ht="15.75" x14ac:dyDescent="0.25">
      <c r="A308" s="6" t="str">
        <f>"6305"</f>
        <v>6305</v>
      </c>
      <c r="B308" s="6" t="s">
        <v>339</v>
      </c>
    </row>
    <row r="309" spans="1:2" ht="15.75" x14ac:dyDescent="0.25">
      <c r="A309" s="6" t="str">
        <f>"6306"</f>
        <v>6306</v>
      </c>
      <c r="B309" s="6" t="s">
        <v>339</v>
      </c>
    </row>
    <row r="310" spans="1:2" ht="15.75" x14ac:dyDescent="0.25">
      <c r="A310" s="6" t="str">
        <f>"6307"</f>
        <v>6307</v>
      </c>
      <c r="B310" s="6" t="s">
        <v>340</v>
      </c>
    </row>
    <row r="311" spans="1:2" ht="15.75" x14ac:dyDescent="0.25">
      <c r="A311" s="6" t="str">
        <f>"6308"</f>
        <v>6308</v>
      </c>
      <c r="B311" s="6" t="s">
        <v>237</v>
      </c>
    </row>
    <row r="312" spans="1:2" ht="15.75" x14ac:dyDescent="0.25">
      <c r="A312" s="6" t="str">
        <f>"6309"</f>
        <v>6309</v>
      </c>
      <c r="B312" s="6" t="s">
        <v>341</v>
      </c>
    </row>
    <row r="313" spans="1:2" ht="15.75" x14ac:dyDescent="0.25">
      <c r="A313" s="6" t="str">
        <f>"6310"</f>
        <v>6310</v>
      </c>
      <c r="B313" s="6" t="s">
        <v>342</v>
      </c>
    </row>
    <row r="314" spans="1:2" ht="15.75" x14ac:dyDescent="0.25">
      <c r="A314" s="6" t="str">
        <f>"6311"</f>
        <v>6311</v>
      </c>
      <c r="B314" s="6" t="s">
        <v>343</v>
      </c>
    </row>
    <row r="315" spans="1:2" ht="15.75" x14ac:dyDescent="0.25">
      <c r="A315" s="6" t="str">
        <f>"6314"</f>
        <v>6314</v>
      </c>
      <c r="B315" s="6" t="s">
        <v>344</v>
      </c>
    </row>
    <row r="316" spans="1:2" ht="15.75" x14ac:dyDescent="0.25">
      <c r="A316" s="6" t="str">
        <f>"6315"</f>
        <v>6315</v>
      </c>
      <c r="B316" s="6" t="s">
        <v>212</v>
      </c>
    </row>
    <row r="317" spans="1:2" ht="15.75" x14ac:dyDescent="0.25">
      <c r="A317" s="6" t="str">
        <f>"6316"</f>
        <v>6316</v>
      </c>
      <c r="B317" s="6" t="s">
        <v>345</v>
      </c>
    </row>
    <row r="318" spans="1:2" ht="15.75" x14ac:dyDescent="0.25">
      <c r="A318" s="6" t="str">
        <f>"6317"</f>
        <v>6317</v>
      </c>
      <c r="B318" s="6" t="s">
        <v>214</v>
      </c>
    </row>
    <row r="319" spans="1:2" ht="15.75" x14ac:dyDescent="0.25">
      <c r="A319" s="6" t="str">
        <f>"6318"</f>
        <v>6318</v>
      </c>
      <c r="B319" s="6" t="s">
        <v>214</v>
      </c>
    </row>
    <row r="320" spans="1:2" ht="15.75" x14ac:dyDescent="0.25">
      <c r="A320" s="6" t="str">
        <f>"6320"</f>
        <v>6320</v>
      </c>
      <c r="B320" s="6" t="s">
        <v>346</v>
      </c>
    </row>
    <row r="321" spans="1:2" ht="15.75" x14ac:dyDescent="0.25">
      <c r="A321" s="6" t="str">
        <f>"6321"</f>
        <v>6321</v>
      </c>
      <c r="B321" s="6" t="s">
        <v>347</v>
      </c>
    </row>
    <row r="322" spans="1:2" ht="15.75" x14ac:dyDescent="0.25">
      <c r="A322" s="6" t="str">
        <f>"6323"</f>
        <v>6323</v>
      </c>
      <c r="B322" s="6" t="s">
        <v>348</v>
      </c>
    </row>
    <row r="323" spans="1:2" ht="15.75" x14ac:dyDescent="0.25">
      <c r="A323" s="6" t="str">
        <f>"6324"</f>
        <v>6324</v>
      </c>
      <c r="B323" s="6" t="s">
        <v>211</v>
      </c>
    </row>
    <row r="324" spans="1:2" ht="15.75" x14ac:dyDescent="0.25">
      <c r="A324" s="6" t="str">
        <f>"6325"</f>
        <v>6325</v>
      </c>
      <c r="B324" s="6" t="s">
        <v>349</v>
      </c>
    </row>
    <row r="325" spans="1:2" ht="15.75" x14ac:dyDescent="0.25">
      <c r="A325" s="6" t="str">
        <f>"6326"</f>
        <v>6326</v>
      </c>
      <c r="B325" s="6" t="s">
        <v>350</v>
      </c>
    </row>
    <row r="326" spans="1:2" ht="15.75" x14ac:dyDescent="0.25">
      <c r="A326" s="6" t="str">
        <f>"6327"</f>
        <v>6327</v>
      </c>
      <c r="B326" s="6" t="s">
        <v>351</v>
      </c>
    </row>
    <row r="327" spans="1:2" ht="15.75" x14ac:dyDescent="0.25">
      <c r="A327" s="6" t="str">
        <f>"6328"</f>
        <v>6328</v>
      </c>
      <c r="B327" s="6" t="s">
        <v>350</v>
      </c>
    </row>
    <row r="328" spans="1:2" ht="15.75" x14ac:dyDescent="0.25">
      <c r="A328" s="6" t="str">
        <f>"6330"</f>
        <v>6330</v>
      </c>
      <c r="B328" s="6" t="s">
        <v>352</v>
      </c>
    </row>
    <row r="329" spans="1:2" ht="15.75" x14ac:dyDescent="0.25">
      <c r="A329" s="6" t="str">
        <f>"6331"</f>
        <v>6331</v>
      </c>
      <c r="B329" s="6" t="s">
        <v>353</v>
      </c>
    </row>
    <row r="330" spans="1:2" ht="15.75" x14ac:dyDescent="0.25">
      <c r="A330" s="6" t="str">
        <f>"6344"</f>
        <v>6344</v>
      </c>
      <c r="B330" s="6" t="s">
        <v>234</v>
      </c>
    </row>
    <row r="331" spans="1:2" ht="15.75" x14ac:dyDescent="0.25">
      <c r="A331" s="6" t="str">
        <f>"6345"</f>
        <v>6345</v>
      </c>
      <c r="B331" s="6" t="s">
        <v>354</v>
      </c>
    </row>
    <row r="332" spans="1:2" ht="15.75" x14ac:dyDescent="0.25">
      <c r="A332" s="6" t="str">
        <f>"6347"</f>
        <v>6347</v>
      </c>
      <c r="B332" s="6" t="s">
        <v>209</v>
      </c>
    </row>
    <row r="333" spans="1:2" ht="15.75" x14ac:dyDescent="0.25">
      <c r="A333" s="6" t="str">
        <f>"6401"</f>
        <v>6401</v>
      </c>
      <c r="B333" s="6" t="s">
        <v>355</v>
      </c>
    </row>
    <row r="334" spans="1:2" ht="15.75" x14ac:dyDescent="0.25">
      <c r="A334" s="6" t="str">
        <f>"6410"</f>
        <v>6410</v>
      </c>
      <c r="B334" s="6" t="s">
        <v>356</v>
      </c>
    </row>
    <row r="335" spans="1:2" ht="15.75" x14ac:dyDescent="0.25">
      <c r="A335" s="6" t="str">
        <f>"6411"</f>
        <v>6411</v>
      </c>
      <c r="B335" s="6" t="s">
        <v>357</v>
      </c>
    </row>
    <row r="336" spans="1:2" ht="15.75" x14ac:dyDescent="0.25">
      <c r="A336" s="6" t="str">
        <f>"6412"</f>
        <v>6412</v>
      </c>
      <c r="B336" s="6" t="s">
        <v>358</v>
      </c>
    </row>
    <row r="337" spans="1:2" ht="15.75" x14ac:dyDescent="0.25">
      <c r="A337" s="6" t="str">
        <f>"6420"</f>
        <v>6420</v>
      </c>
      <c r="B337" s="6" t="s">
        <v>359</v>
      </c>
    </row>
    <row r="338" spans="1:2" ht="15.75" x14ac:dyDescent="0.25">
      <c r="A338" s="6" t="str">
        <f>"6422"</f>
        <v>6422</v>
      </c>
      <c r="B338" s="6" t="s">
        <v>360</v>
      </c>
    </row>
    <row r="339" spans="1:2" ht="15.75" x14ac:dyDescent="0.25">
      <c r="A339" s="6" t="str">
        <f>"6432"</f>
        <v>6432</v>
      </c>
      <c r="B339" s="6" t="s">
        <v>361</v>
      </c>
    </row>
    <row r="340" spans="1:2" ht="15.75" x14ac:dyDescent="0.25">
      <c r="A340" s="6" t="str">
        <f>"6434"</f>
        <v>6434</v>
      </c>
      <c r="B340" s="6" t="s">
        <v>362</v>
      </c>
    </row>
    <row r="341" spans="1:2" ht="15.75" x14ac:dyDescent="0.25">
      <c r="A341" s="6" t="str">
        <f>"6435"</f>
        <v>6435</v>
      </c>
      <c r="B341" s="6" t="s">
        <v>363</v>
      </c>
    </row>
    <row r="342" spans="1:2" ht="15.75" x14ac:dyDescent="0.25">
      <c r="A342" s="6" t="str">
        <f>"6436"</f>
        <v>6436</v>
      </c>
      <c r="B342" s="6" t="s">
        <v>364</v>
      </c>
    </row>
    <row r="343" spans="1:2" ht="15.75" x14ac:dyDescent="0.25">
      <c r="A343" s="6" t="str">
        <f>"6437"</f>
        <v>6437</v>
      </c>
      <c r="B343" s="6" t="s">
        <v>365</v>
      </c>
    </row>
    <row r="344" spans="1:2" ht="15.75" x14ac:dyDescent="0.25">
      <c r="A344" s="6" t="str">
        <f>"6438"</f>
        <v>6438</v>
      </c>
      <c r="B344" s="6" t="s">
        <v>366</v>
      </c>
    </row>
    <row r="345" spans="1:2" ht="15.75" x14ac:dyDescent="0.25">
      <c r="A345" s="6" t="str">
        <f>"6440"</f>
        <v>6440</v>
      </c>
      <c r="B345" s="6" t="s">
        <v>367</v>
      </c>
    </row>
    <row r="346" spans="1:2" ht="15.75" x14ac:dyDescent="0.25">
      <c r="A346" s="6" t="str">
        <f>"6444"</f>
        <v>6444</v>
      </c>
      <c r="B346" s="6" t="s">
        <v>368</v>
      </c>
    </row>
    <row r="347" spans="1:2" ht="15.75" x14ac:dyDescent="0.25">
      <c r="A347" s="6" t="str">
        <f>"6450"</f>
        <v>6450</v>
      </c>
      <c r="B347" s="6" t="s">
        <v>369</v>
      </c>
    </row>
    <row r="348" spans="1:2" ht="15.75" x14ac:dyDescent="0.25">
      <c r="A348" s="6" t="str">
        <f>"6451"</f>
        <v>6451</v>
      </c>
      <c r="B348" s="6" t="s">
        <v>370</v>
      </c>
    </row>
    <row r="349" spans="1:2" ht="15.75" x14ac:dyDescent="0.25">
      <c r="A349" s="6" t="str">
        <f>"6452"</f>
        <v>6452</v>
      </c>
      <c r="B349" s="6" t="s">
        <v>371</v>
      </c>
    </row>
    <row r="350" spans="1:2" ht="15.75" x14ac:dyDescent="0.25">
      <c r="A350" s="6" t="str">
        <f>"6460"</f>
        <v>6460</v>
      </c>
      <c r="B350" s="6" t="s">
        <v>372</v>
      </c>
    </row>
    <row r="351" spans="1:2" ht="15.75" x14ac:dyDescent="0.25">
      <c r="A351" s="6" t="str">
        <f>"6461"</f>
        <v>6461</v>
      </c>
      <c r="B351" s="6" t="s">
        <v>373</v>
      </c>
    </row>
    <row r="352" spans="1:2" ht="15.75" x14ac:dyDescent="0.25">
      <c r="A352" s="6" t="str">
        <f>"6462"</f>
        <v>6462</v>
      </c>
      <c r="B352" s="6" t="s">
        <v>374</v>
      </c>
    </row>
    <row r="353" spans="1:2" ht="15.75" x14ac:dyDescent="0.25">
      <c r="A353" s="6" t="str">
        <f>"6470"</f>
        <v>6470</v>
      </c>
      <c r="B353" s="6" t="s">
        <v>375</v>
      </c>
    </row>
    <row r="354" spans="1:2" ht="15.75" x14ac:dyDescent="0.25">
      <c r="A354" s="6" t="str">
        <f>"6471"</f>
        <v>6471</v>
      </c>
      <c r="B354" s="6" t="s">
        <v>376</v>
      </c>
    </row>
    <row r="355" spans="1:2" ht="15.75" x14ac:dyDescent="0.25">
      <c r="A355" s="6" t="str">
        <f>"6472"</f>
        <v>6472</v>
      </c>
      <c r="B355" s="6" t="s">
        <v>377</v>
      </c>
    </row>
    <row r="356" spans="1:2" ht="15.75" x14ac:dyDescent="0.25">
      <c r="A356" s="6" t="str">
        <f>"6473"</f>
        <v>6473</v>
      </c>
      <c r="B356" s="6" t="s">
        <v>378</v>
      </c>
    </row>
    <row r="357" spans="1:2" ht="15.75" x14ac:dyDescent="0.25">
      <c r="A357" s="6" t="str">
        <f>"6474"</f>
        <v>6474</v>
      </c>
      <c r="B357" s="6" t="s">
        <v>379</v>
      </c>
    </row>
    <row r="358" spans="1:2" ht="15.75" x14ac:dyDescent="0.25">
      <c r="A358" s="6" t="str">
        <f>"6475"</f>
        <v>6475</v>
      </c>
      <c r="B358" s="6" t="s">
        <v>380</v>
      </c>
    </row>
    <row r="359" spans="1:2" ht="15.75" x14ac:dyDescent="0.25">
      <c r="A359" s="6" t="str">
        <f>"6476"</f>
        <v>6476</v>
      </c>
      <c r="B359" s="6" t="s">
        <v>381</v>
      </c>
    </row>
    <row r="360" spans="1:2" ht="15.75" x14ac:dyDescent="0.25">
      <c r="A360" s="6" t="str">
        <f>"6480"</f>
        <v>6480</v>
      </c>
      <c r="B360" s="6" t="s">
        <v>382</v>
      </c>
    </row>
    <row r="361" spans="1:2" ht="15.75" x14ac:dyDescent="0.25">
      <c r="A361" s="6" t="str">
        <f>"6481"</f>
        <v>6481</v>
      </c>
      <c r="B361" s="6" t="s">
        <v>383</v>
      </c>
    </row>
    <row r="362" spans="1:2" ht="15.75" x14ac:dyDescent="0.25">
      <c r="A362" s="6" t="str">
        <f>"6482"</f>
        <v>6482</v>
      </c>
      <c r="B362" s="6" t="s">
        <v>384</v>
      </c>
    </row>
    <row r="363" spans="1:2" ht="15.75" x14ac:dyDescent="0.25">
      <c r="A363" s="6" t="str">
        <f>"6483"</f>
        <v>6483</v>
      </c>
      <c r="B363" s="6" t="s">
        <v>385</v>
      </c>
    </row>
    <row r="364" spans="1:2" ht="15.75" x14ac:dyDescent="0.25">
      <c r="A364" s="6" t="str">
        <f>"6484"</f>
        <v>6484</v>
      </c>
      <c r="B364" s="6" t="s">
        <v>386</v>
      </c>
    </row>
    <row r="365" spans="1:2" ht="15.75" x14ac:dyDescent="0.25">
      <c r="A365" s="6" t="str">
        <f>"6485"</f>
        <v>6485</v>
      </c>
      <c r="B365" s="6" t="s">
        <v>185</v>
      </c>
    </row>
    <row r="366" spans="1:2" ht="15.75" x14ac:dyDescent="0.25">
      <c r="A366" s="6" t="str">
        <f>"6486"</f>
        <v>6486</v>
      </c>
      <c r="B366" s="6" t="s">
        <v>387</v>
      </c>
    </row>
    <row r="367" spans="1:2" ht="15.75" x14ac:dyDescent="0.25">
      <c r="A367" s="6" t="str">
        <f>"6487"</f>
        <v>6487</v>
      </c>
      <c r="B367" s="6" t="s">
        <v>388</v>
      </c>
    </row>
    <row r="368" spans="1:2" ht="15.75" x14ac:dyDescent="0.25">
      <c r="A368" s="6" t="str">
        <f>"6488"</f>
        <v>6488</v>
      </c>
      <c r="B368" s="6" t="s">
        <v>389</v>
      </c>
    </row>
    <row r="369" spans="1:2" ht="15.75" x14ac:dyDescent="0.25">
      <c r="A369" s="6" t="str">
        <f>"6489"</f>
        <v>6489</v>
      </c>
      <c r="B369" s="6" t="s">
        <v>390</v>
      </c>
    </row>
    <row r="370" spans="1:2" ht="15.75" x14ac:dyDescent="0.25">
      <c r="A370" s="6" t="str">
        <f>"6490"</f>
        <v>6490</v>
      </c>
      <c r="B370" s="6" t="s">
        <v>391</v>
      </c>
    </row>
    <row r="371" spans="1:2" ht="15.75" x14ac:dyDescent="0.25">
      <c r="A371" s="6" t="str">
        <f>"6491"</f>
        <v>6491</v>
      </c>
      <c r="B371" s="6" t="s">
        <v>392</v>
      </c>
    </row>
    <row r="372" spans="1:2" ht="15.75" x14ac:dyDescent="0.25">
      <c r="A372" s="6" t="str">
        <f>"6492"</f>
        <v>6492</v>
      </c>
      <c r="B372" s="6" t="s">
        <v>393</v>
      </c>
    </row>
    <row r="373" spans="1:2" ht="15.75" x14ac:dyDescent="0.25">
      <c r="A373" s="6" t="str">
        <f>"6493"</f>
        <v>6493</v>
      </c>
      <c r="B373" s="6" t="s">
        <v>394</v>
      </c>
    </row>
    <row r="374" spans="1:2" ht="15.75" x14ac:dyDescent="0.25">
      <c r="A374" s="6" t="str">
        <f>"6494"</f>
        <v>6494</v>
      </c>
      <c r="B374" s="6" t="s">
        <v>395</v>
      </c>
    </row>
    <row r="375" spans="1:2" ht="15.75" x14ac:dyDescent="0.25">
      <c r="A375" s="6" t="str">
        <f>"6495"</f>
        <v>6495</v>
      </c>
      <c r="B375" s="6" t="s">
        <v>396</v>
      </c>
    </row>
    <row r="376" spans="1:2" ht="15.75" x14ac:dyDescent="0.25">
      <c r="A376" s="6" t="str">
        <f>"6496"</f>
        <v>6496</v>
      </c>
      <c r="B376" s="6" t="s">
        <v>397</v>
      </c>
    </row>
    <row r="377" spans="1:2" ht="15.75" x14ac:dyDescent="0.25">
      <c r="A377" s="6" t="str">
        <f>"6497"</f>
        <v>6497</v>
      </c>
      <c r="B377" s="6" t="s">
        <v>398</v>
      </c>
    </row>
    <row r="378" spans="1:2" ht="15.75" x14ac:dyDescent="0.25">
      <c r="A378" s="6" t="str">
        <f>"6498"</f>
        <v>6498</v>
      </c>
      <c r="B378" s="6" t="s">
        <v>119</v>
      </c>
    </row>
    <row r="379" spans="1:2" ht="15.75" x14ac:dyDescent="0.25">
      <c r="A379" s="6" t="str">
        <f>"6499"</f>
        <v>6499</v>
      </c>
      <c r="B379" s="6" t="s">
        <v>399</v>
      </c>
    </row>
    <row r="380" spans="1:2" ht="15.75" x14ac:dyDescent="0.25">
      <c r="A380" s="6" t="str">
        <f>"6510"</f>
        <v>6510</v>
      </c>
      <c r="B380" s="6" t="s">
        <v>400</v>
      </c>
    </row>
    <row r="381" spans="1:2" ht="15.75" x14ac:dyDescent="0.25">
      <c r="A381" s="6" t="str">
        <f>"6530"</f>
        <v>6530</v>
      </c>
      <c r="B381" s="6" t="s">
        <v>401</v>
      </c>
    </row>
    <row r="382" spans="1:2" ht="15.75" x14ac:dyDescent="0.25">
      <c r="A382" s="6" t="str">
        <f>"6550"</f>
        <v>6550</v>
      </c>
      <c r="B382" s="6" t="s">
        <v>402</v>
      </c>
    </row>
    <row r="383" spans="1:2" ht="15.75" x14ac:dyDescent="0.25">
      <c r="A383" s="6" t="str">
        <f>"6551"</f>
        <v>6551</v>
      </c>
      <c r="B383" s="6" t="s">
        <v>403</v>
      </c>
    </row>
    <row r="384" spans="1:2" ht="15.75" x14ac:dyDescent="0.25">
      <c r="A384" s="6" t="str">
        <f>"6570"</f>
        <v>6570</v>
      </c>
      <c r="B384" s="6" t="s">
        <v>404</v>
      </c>
    </row>
    <row r="385" spans="1:2" ht="15.75" x14ac:dyDescent="0.25">
      <c r="A385" s="6" t="str">
        <f>"6601"</f>
        <v>6601</v>
      </c>
      <c r="B385" s="6" t="s">
        <v>405</v>
      </c>
    </row>
    <row r="386" spans="1:2" ht="15.75" x14ac:dyDescent="0.25">
      <c r="A386" s="6" t="str">
        <f>"6602"</f>
        <v>6602</v>
      </c>
      <c r="B386" s="6" t="s">
        <v>406</v>
      </c>
    </row>
    <row r="387" spans="1:2" ht="15.75" x14ac:dyDescent="0.25">
      <c r="A387" s="6" t="str">
        <f>"6603"</f>
        <v>6603</v>
      </c>
      <c r="B387" s="6" t="s">
        <v>407</v>
      </c>
    </row>
    <row r="388" spans="1:2" ht="15.75" x14ac:dyDescent="0.25">
      <c r="A388" s="6" t="str">
        <f>"6604"</f>
        <v>6604</v>
      </c>
      <c r="B388" s="6" t="s">
        <v>408</v>
      </c>
    </row>
    <row r="389" spans="1:2" ht="15.75" x14ac:dyDescent="0.25">
      <c r="A389" s="6" t="str">
        <f>"6605"</f>
        <v>6605</v>
      </c>
      <c r="B389" s="6" t="s">
        <v>408</v>
      </c>
    </row>
    <row r="390" spans="1:2" ht="15.75" x14ac:dyDescent="0.25">
      <c r="A390" s="6" t="str">
        <f>"6606"</f>
        <v>6606</v>
      </c>
      <c r="B390" s="6" t="s">
        <v>409</v>
      </c>
    </row>
    <row r="391" spans="1:2" ht="15.75" x14ac:dyDescent="0.25">
      <c r="A391" s="6" t="str">
        <f>"6607"</f>
        <v>6607</v>
      </c>
      <c r="B391" s="6" t="s">
        <v>410</v>
      </c>
    </row>
    <row r="392" spans="1:2" ht="15.75" x14ac:dyDescent="0.25">
      <c r="A392" s="6" t="str">
        <f>"6609"</f>
        <v>6609</v>
      </c>
      <c r="B392" s="6" t="s">
        <v>411</v>
      </c>
    </row>
    <row r="393" spans="1:2" ht="15.75" x14ac:dyDescent="0.25">
      <c r="A393" s="6" t="str">
        <f>"6621"</f>
        <v>6621</v>
      </c>
      <c r="B393" s="6" t="s">
        <v>412</v>
      </c>
    </row>
    <row r="394" spans="1:2" ht="15.75" x14ac:dyDescent="0.25">
      <c r="A394" s="6" t="str">
        <f>"6622"</f>
        <v>6622</v>
      </c>
      <c r="B394" s="6" t="s">
        <v>413</v>
      </c>
    </row>
    <row r="395" spans="1:2" ht="15.75" x14ac:dyDescent="0.25">
      <c r="A395" s="6" t="str">
        <f>"6623"</f>
        <v>6623</v>
      </c>
      <c r="B395" s="6" t="s">
        <v>414</v>
      </c>
    </row>
    <row r="396" spans="1:2" ht="15.75" x14ac:dyDescent="0.25">
      <c r="A396" s="6" t="str">
        <f>"6624"</f>
        <v>6624</v>
      </c>
      <c r="B396" s="6" t="s">
        <v>415</v>
      </c>
    </row>
    <row r="397" spans="1:2" ht="15.75" x14ac:dyDescent="0.25">
      <c r="A397" s="6" t="str">
        <f>"6625"</f>
        <v>6625</v>
      </c>
      <c r="B397" s="6" t="s">
        <v>416</v>
      </c>
    </row>
    <row r="398" spans="1:2" ht="15.75" x14ac:dyDescent="0.25">
      <c r="A398" s="6" t="str">
        <f>"6626"</f>
        <v>6626</v>
      </c>
      <c r="B398" s="6" t="s">
        <v>417</v>
      </c>
    </row>
    <row r="399" spans="1:2" ht="15.75" x14ac:dyDescent="0.25">
      <c r="A399" s="6" t="str">
        <f>"6630"</f>
        <v>6630</v>
      </c>
      <c r="B399" s="6" t="s">
        <v>418</v>
      </c>
    </row>
    <row r="400" spans="1:2" ht="15.75" x14ac:dyDescent="0.25">
      <c r="A400" s="6" t="str">
        <f>"6640"</f>
        <v>6640</v>
      </c>
      <c r="B400" s="6" t="s">
        <v>419</v>
      </c>
    </row>
    <row r="401" spans="1:2" ht="15.75" x14ac:dyDescent="0.25">
      <c r="A401" s="6" t="str">
        <f>"6699"</f>
        <v>6699</v>
      </c>
      <c r="B401" s="6" t="s">
        <v>420</v>
      </c>
    </row>
    <row r="402" spans="1:2" ht="15.75" x14ac:dyDescent="0.25">
      <c r="A402" s="6" t="str">
        <f>"6710"</f>
        <v>6710</v>
      </c>
      <c r="B402" s="6" t="s">
        <v>421</v>
      </c>
    </row>
    <row r="403" spans="1:2" ht="15.75" x14ac:dyDescent="0.25">
      <c r="A403" s="6" t="str">
        <f>"6715"</f>
        <v>6715</v>
      </c>
      <c r="B403" s="6" t="s">
        <v>422</v>
      </c>
    </row>
    <row r="404" spans="1:2" ht="15.75" x14ac:dyDescent="0.25">
      <c r="A404" s="6" t="str">
        <f>"6716"</f>
        <v>6716</v>
      </c>
      <c r="B404" s="6" t="s">
        <v>423</v>
      </c>
    </row>
    <row r="405" spans="1:2" ht="15.75" x14ac:dyDescent="0.25">
      <c r="A405" s="6" t="str">
        <f>"6717"</f>
        <v>6717</v>
      </c>
      <c r="B405" s="6" t="s">
        <v>424</v>
      </c>
    </row>
    <row r="406" spans="1:2" ht="15.75" x14ac:dyDescent="0.25">
      <c r="A406" s="6" t="str">
        <f>"6720"</f>
        <v>6720</v>
      </c>
      <c r="B406" s="6" t="s">
        <v>425</v>
      </c>
    </row>
    <row r="407" spans="1:2" ht="15.75" x14ac:dyDescent="0.25">
      <c r="A407" s="6" t="str">
        <f>"6721"</f>
        <v>6721</v>
      </c>
      <c r="B407" s="6" t="s">
        <v>426</v>
      </c>
    </row>
    <row r="408" spans="1:2" ht="15.75" x14ac:dyDescent="0.25">
      <c r="A408" s="6" t="str">
        <f>"6722"</f>
        <v>6722</v>
      </c>
      <c r="B408" s="6" t="s">
        <v>427</v>
      </c>
    </row>
    <row r="409" spans="1:2" ht="15.75" x14ac:dyDescent="0.25">
      <c r="A409" s="6" t="str">
        <f>"6723"</f>
        <v>6723</v>
      </c>
      <c r="B409" s="6" t="s">
        <v>428</v>
      </c>
    </row>
    <row r="410" spans="1:2" ht="15.75" x14ac:dyDescent="0.25">
      <c r="A410" s="6" t="str">
        <f>"6724"</f>
        <v>6724</v>
      </c>
      <c r="B410" s="6" t="s">
        <v>429</v>
      </c>
    </row>
    <row r="411" spans="1:2" ht="15.75" x14ac:dyDescent="0.25">
      <c r="A411" s="6" t="str">
        <f>"6725"</f>
        <v>6725</v>
      </c>
      <c r="B411" s="6" t="s">
        <v>430</v>
      </c>
    </row>
    <row r="412" spans="1:2" ht="15.75" x14ac:dyDescent="0.25">
      <c r="A412" s="6" t="str">
        <f>"6726"</f>
        <v>6726</v>
      </c>
      <c r="B412" s="6" t="s">
        <v>431</v>
      </c>
    </row>
    <row r="413" spans="1:2" ht="15.75" x14ac:dyDescent="0.25">
      <c r="A413" s="6" t="str">
        <f>"6727"</f>
        <v>6727</v>
      </c>
      <c r="B413" s="6" t="s">
        <v>432</v>
      </c>
    </row>
    <row r="414" spans="1:2" ht="15.75" x14ac:dyDescent="0.25">
      <c r="A414" s="6" t="str">
        <f>"6728"</f>
        <v>6728</v>
      </c>
      <c r="B414" s="6" t="s">
        <v>433</v>
      </c>
    </row>
    <row r="415" spans="1:2" ht="15.75" x14ac:dyDescent="0.25">
      <c r="A415" s="6" t="str">
        <f>"6729"</f>
        <v>6729</v>
      </c>
      <c r="B415" s="6" t="s">
        <v>425</v>
      </c>
    </row>
    <row r="416" spans="1:2" ht="15.75" x14ac:dyDescent="0.25">
      <c r="A416" s="6" t="str">
        <f>"6730"</f>
        <v>6730</v>
      </c>
      <c r="B416" s="6" t="s">
        <v>434</v>
      </c>
    </row>
    <row r="417" spans="1:2" ht="15.75" x14ac:dyDescent="0.25">
      <c r="A417" s="6" t="str">
        <f>"6731"</f>
        <v>6731</v>
      </c>
      <c r="B417" s="6" t="s">
        <v>435</v>
      </c>
    </row>
    <row r="418" spans="1:2" ht="15.75" x14ac:dyDescent="0.25">
      <c r="A418" s="6" t="str">
        <f>"6732"</f>
        <v>6732</v>
      </c>
      <c r="B418" s="6" t="s">
        <v>436</v>
      </c>
    </row>
    <row r="419" spans="1:2" ht="15.75" x14ac:dyDescent="0.25">
      <c r="A419" s="6" t="str">
        <f>"6733"</f>
        <v>6733</v>
      </c>
      <c r="B419" s="6" t="s">
        <v>437</v>
      </c>
    </row>
    <row r="420" spans="1:2" ht="15.75" x14ac:dyDescent="0.25">
      <c r="A420" s="6" t="str">
        <f>"6734"</f>
        <v>6734</v>
      </c>
      <c r="B420" s="6" t="s">
        <v>438</v>
      </c>
    </row>
    <row r="421" spans="1:2" ht="15.75" x14ac:dyDescent="0.25">
      <c r="A421" s="6" t="str">
        <f>"6735"</f>
        <v>6735</v>
      </c>
      <c r="B421" s="6" t="s">
        <v>439</v>
      </c>
    </row>
    <row r="422" spans="1:2" ht="15.75" x14ac:dyDescent="0.25">
      <c r="A422" s="6" t="str">
        <f>"6750"</f>
        <v>6750</v>
      </c>
      <c r="B422" s="6" t="s">
        <v>440</v>
      </c>
    </row>
    <row r="423" spans="1:2" ht="15.75" x14ac:dyDescent="0.25">
      <c r="A423" s="6" t="str">
        <f>"6751"</f>
        <v>6751</v>
      </c>
      <c r="B423" s="6" t="s">
        <v>441</v>
      </c>
    </row>
    <row r="424" spans="1:2" ht="15.75" x14ac:dyDescent="0.25">
      <c r="A424" s="6" t="str">
        <f>"6752"</f>
        <v>6752</v>
      </c>
      <c r="B424" s="6" t="s">
        <v>442</v>
      </c>
    </row>
    <row r="425" spans="1:2" ht="15.75" x14ac:dyDescent="0.25">
      <c r="A425" s="6" t="str">
        <f>"6753"</f>
        <v>6753</v>
      </c>
      <c r="B425" s="6" t="s">
        <v>443</v>
      </c>
    </row>
    <row r="426" spans="1:2" ht="15.75" x14ac:dyDescent="0.25">
      <c r="A426" s="6" t="str">
        <f>"6754"</f>
        <v>6754</v>
      </c>
      <c r="B426" s="6" t="s">
        <v>444</v>
      </c>
    </row>
    <row r="427" spans="1:2" ht="15.75" x14ac:dyDescent="0.25">
      <c r="A427" s="6" t="str">
        <f>"6755"</f>
        <v>6755</v>
      </c>
      <c r="B427" s="6" t="s">
        <v>445</v>
      </c>
    </row>
    <row r="428" spans="1:2" ht="15.75" x14ac:dyDescent="0.25">
      <c r="A428" s="6" t="str">
        <f>"6760"</f>
        <v>6760</v>
      </c>
      <c r="B428" s="6" t="s">
        <v>446</v>
      </c>
    </row>
    <row r="429" spans="1:2" ht="15.75" x14ac:dyDescent="0.25">
      <c r="A429" s="6" t="str">
        <f>"6771"</f>
        <v>6771</v>
      </c>
      <c r="B429" s="6" t="s">
        <v>447</v>
      </c>
    </row>
    <row r="430" spans="1:2" ht="15.75" x14ac:dyDescent="0.25">
      <c r="A430" s="6" t="str">
        <f>"6772"</f>
        <v>6772</v>
      </c>
      <c r="B430" s="6" t="s">
        <v>448</v>
      </c>
    </row>
    <row r="431" spans="1:2" ht="15.75" x14ac:dyDescent="0.25">
      <c r="A431" s="6" t="str">
        <f>"6773"</f>
        <v>6773</v>
      </c>
      <c r="B431" s="6" t="s">
        <v>449</v>
      </c>
    </row>
    <row r="432" spans="1:2" ht="15.75" x14ac:dyDescent="0.25">
      <c r="A432" s="6" t="str">
        <f>"6774"</f>
        <v>6774</v>
      </c>
      <c r="B432" s="6" t="s">
        <v>450</v>
      </c>
    </row>
    <row r="433" spans="1:2" ht="15.75" x14ac:dyDescent="0.25">
      <c r="A433" s="6" t="str">
        <f>"6775"</f>
        <v>6775</v>
      </c>
      <c r="B433" s="6" t="s">
        <v>451</v>
      </c>
    </row>
    <row r="434" spans="1:2" ht="15.75" x14ac:dyDescent="0.25">
      <c r="A434" s="6" t="str">
        <f>"6776"</f>
        <v>6776</v>
      </c>
      <c r="B434" s="6" t="s">
        <v>452</v>
      </c>
    </row>
    <row r="435" spans="1:2" ht="15.75" x14ac:dyDescent="0.25">
      <c r="A435" s="6" t="str">
        <f>"6777"</f>
        <v>6777</v>
      </c>
      <c r="B435" s="6" t="s">
        <v>453</v>
      </c>
    </row>
    <row r="436" spans="1:2" ht="15.75" x14ac:dyDescent="0.25">
      <c r="A436" s="6" t="str">
        <f>"6778"</f>
        <v>6778</v>
      </c>
      <c r="B436" s="6" t="s">
        <v>454</v>
      </c>
    </row>
    <row r="437" spans="1:2" ht="15.75" x14ac:dyDescent="0.25">
      <c r="A437" s="6" t="str">
        <f>"6779"</f>
        <v>6779</v>
      </c>
      <c r="B437" s="6" t="s">
        <v>455</v>
      </c>
    </row>
    <row r="438" spans="1:2" ht="15.75" x14ac:dyDescent="0.25">
      <c r="A438" s="6" t="str">
        <f>"6780"</f>
        <v>6780</v>
      </c>
      <c r="B438" s="6" t="s">
        <v>456</v>
      </c>
    </row>
    <row r="439" spans="1:2" ht="15.75" x14ac:dyDescent="0.25">
      <c r="A439" s="6" t="str">
        <f>"6781"</f>
        <v>6781</v>
      </c>
      <c r="B439" s="6" t="s">
        <v>457</v>
      </c>
    </row>
    <row r="440" spans="1:2" ht="15.75" x14ac:dyDescent="0.25">
      <c r="A440" s="6" t="str">
        <f>"6782"</f>
        <v>6782</v>
      </c>
      <c r="B440" s="6" t="s">
        <v>458</v>
      </c>
    </row>
    <row r="441" spans="1:2" ht="15.75" x14ac:dyDescent="0.25">
      <c r="A441" s="6" t="str">
        <f>"6783"</f>
        <v>6783</v>
      </c>
      <c r="B441" s="6" t="s">
        <v>459</v>
      </c>
    </row>
    <row r="442" spans="1:2" ht="15.75" x14ac:dyDescent="0.25">
      <c r="A442" s="6" t="str">
        <f>"6784"</f>
        <v>6784</v>
      </c>
      <c r="B442" s="6" t="s">
        <v>460</v>
      </c>
    </row>
    <row r="443" spans="1:2" ht="15.75" x14ac:dyDescent="0.25">
      <c r="A443" s="6" t="str">
        <f>"6785"</f>
        <v>6785</v>
      </c>
      <c r="B443" s="6" t="s">
        <v>461</v>
      </c>
    </row>
    <row r="444" spans="1:2" ht="15.75" x14ac:dyDescent="0.25">
      <c r="A444" s="6" t="str">
        <f>"6786"</f>
        <v>6786</v>
      </c>
      <c r="B444" s="6" t="s">
        <v>462</v>
      </c>
    </row>
    <row r="445" spans="1:2" ht="15.75" x14ac:dyDescent="0.25">
      <c r="A445" s="6" t="str">
        <f>"6787"</f>
        <v>6787</v>
      </c>
      <c r="B445" s="6" t="s">
        <v>463</v>
      </c>
    </row>
    <row r="446" spans="1:2" ht="15.75" x14ac:dyDescent="0.25">
      <c r="A446" s="6" t="str">
        <f>"6788"</f>
        <v>6788</v>
      </c>
      <c r="B446" s="6" t="s">
        <v>464</v>
      </c>
    </row>
    <row r="447" spans="1:2" ht="15.75" x14ac:dyDescent="0.25">
      <c r="A447" s="6" t="str">
        <f>"6789"</f>
        <v>6789</v>
      </c>
      <c r="B447" s="6" t="s">
        <v>465</v>
      </c>
    </row>
    <row r="448" spans="1:2" ht="15.75" x14ac:dyDescent="0.25">
      <c r="A448" s="6" t="str">
        <f>"6790"</f>
        <v>6790</v>
      </c>
      <c r="B448" s="6" t="s">
        <v>466</v>
      </c>
    </row>
    <row r="449" spans="1:2" ht="15.75" x14ac:dyDescent="0.25">
      <c r="A449" s="6" t="str">
        <f>"6791"</f>
        <v>6791</v>
      </c>
      <c r="B449" s="6" t="s">
        <v>467</v>
      </c>
    </row>
    <row r="450" spans="1:2" ht="15.75" x14ac:dyDescent="0.25">
      <c r="A450" s="6" t="str">
        <f>"6792"</f>
        <v>6792</v>
      </c>
      <c r="B450" s="6" t="s">
        <v>468</v>
      </c>
    </row>
    <row r="451" spans="1:2" ht="15.75" x14ac:dyDescent="0.25">
      <c r="A451" s="6" t="str">
        <f>"6793"</f>
        <v>6793</v>
      </c>
      <c r="B451" s="6" t="s">
        <v>469</v>
      </c>
    </row>
    <row r="452" spans="1:2" ht="15.75" x14ac:dyDescent="0.25">
      <c r="A452" s="6" t="str">
        <f>"6794"</f>
        <v>6794</v>
      </c>
      <c r="B452" s="6" t="s">
        <v>470</v>
      </c>
    </row>
    <row r="453" spans="1:2" ht="15.75" x14ac:dyDescent="0.25">
      <c r="A453" s="6" t="str">
        <f>"6796"</f>
        <v>6796</v>
      </c>
      <c r="B453" s="6" t="s">
        <v>471</v>
      </c>
    </row>
    <row r="454" spans="1:2" ht="15.75" x14ac:dyDescent="0.25">
      <c r="A454" s="6" t="str">
        <f>"6799"</f>
        <v>6799</v>
      </c>
      <c r="B454" s="6" t="s">
        <v>264</v>
      </c>
    </row>
    <row r="455" spans="1:2" ht="15.75" x14ac:dyDescent="0.25">
      <c r="A455" s="6" t="str">
        <f>"6819"</f>
        <v>6819</v>
      </c>
      <c r="B455" s="6" t="s">
        <v>472</v>
      </c>
    </row>
    <row r="456" spans="1:2" ht="15.75" x14ac:dyDescent="0.25">
      <c r="A456" s="6" t="str">
        <f>"6820"</f>
        <v>6820</v>
      </c>
      <c r="B456" s="6" t="s">
        <v>473</v>
      </c>
    </row>
    <row r="457" spans="1:2" ht="15.75" x14ac:dyDescent="0.25">
      <c r="A457" s="6" t="str">
        <f>"6821"</f>
        <v>6821</v>
      </c>
      <c r="B457" s="6" t="s">
        <v>474</v>
      </c>
    </row>
    <row r="458" spans="1:2" ht="15.75" x14ac:dyDescent="0.25">
      <c r="A458" s="6" t="str">
        <f>"6822"</f>
        <v>6822</v>
      </c>
      <c r="B458" s="6" t="s">
        <v>475</v>
      </c>
    </row>
    <row r="459" spans="1:2" ht="15.75" x14ac:dyDescent="0.25">
      <c r="A459" s="6" t="str">
        <f>"6823"</f>
        <v>6823</v>
      </c>
      <c r="B459" s="6" t="s">
        <v>476</v>
      </c>
    </row>
    <row r="460" spans="1:2" ht="15.75" x14ac:dyDescent="0.25">
      <c r="A460" s="6" t="str">
        <f>"6824"</f>
        <v>6824</v>
      </c>
      <c r="B460" s="6" t="s">
        <v>477</v>
      </c>
    </row>
    <row r="461" spans="1:2" ht="15.75" x14ac:dyDescent="0.25">
      <c r="A461" s="6" t="str">
        <f>"6825"</f>
        <v>6825</v>
      </c>
      <c r="B461" s="6" t="s">
        <v>478</v>
      </c>
    </row>
    <row r="462" spans="1:2" ht="15.75" x14ac:dyDescent="0.25">
      <c r="A462" s="6" t="str">
        <f>"6826"</f>
        <v>6826</v>
      </c>
      <c r="B462" s="6" t="s">
        <v>479</v>
      </c>
    </row>
    <row r="463" spans="1:2" ht="15.75" x14ac:dyDescent="0.25">
      <c r="A463" s="6" t="str">
        <f>"6827"</f>
        <v>6827</v>
      </c>
      <c r="B463" s="6" t="s">
        <v>480</v>
      </c>
    </row>
    <row r="464" spans="1:2" ht="15.75" x14ac:dyDescent="0.25">
      <c r="A464" s="6" t="str">
        <f>"6828"</f>
        <v>6828</v>
      </c>
      <c r="B464" s="6" t="s">
        <v>481</v>
      </c>
    </row>
    <row r="465" spans="1:2" ht="15.75" x14ac:dyDescent="0.25">
      <c r="A465" s="6" t="str">
        <f>"6829"</f>
        <v>6829</v>
      </c>
      <c r="B465" s="6" t="s">
        <v>479</v>
      </c>
    </row>
    <row r="466" spans="1:2" ht="15.75" x14ac:dyDescent="0.25">
      <c r="A466" s="6" t="str">
        <f>"6830"</f>
        <v>6830</v>
      </c>
      <c r="B466" s="6" t="s">
        <v>482</v>
      </c>
    </row>
    <row r="467" spans="1:2" ht="15.75" x14ac:dyDescent="0.25">
      <c r="A467" s="6" t="str">
        <f>"6831"</f>
        <v>6831</v>
      </c>
      <c r="B467" s="6" t="s">
        <v>483</v>
      </c>
    </row>
    <row r="468" spans="1:2" ht="15.75" x14ac:dyDescent="0.25">
      <c r="A468" s="6" t="str">
        <f>"6840"</f>
        <v>6840</v>
      </c>
      <c r="B468" s="6" t="s">
        <v>484</v>
      </c>
    </row>
    <row r="469" spans="1:2" ht="15.75" x14ac:dyDescent="0.25">
      <c r="A469" s="6" t="str">
        <f>"6841"</f>
        <v>6841</v>
      </c>
      <c r="B469" s="6" t="s">
        <v>485</v>
      </c>
    </row>
    <row r="470" spans="1:2" ht="15.75" x14ac:dyDescent="0.25">
      <c r="A470" s="6" t="str">
        <f>"6842"</f>
        <v>6842</v>
      </c>
      <c r="B470" s="6" t="s">
        <v>486</v>
      </c>
    </row>
    <row r="471" spans="1:2" ht="15.75" x14ac:dyDescent="0.25">
      <c r="A471" s="6" t="str">
        <f>"6843"</f>
        <v>6843</v>
      </c>
      <c r="B471" s="6" t="s">
        <v>487</v>
      </c>
    </row>
    <row r="472" spans="1:2" ht="15.75" x14ac:dyDescent="0.25">
      <c r="A472" s="6" t="str">
        <f>"6844"</f>
        <v>6844</v>
      </c>
      <c r="B472" s="6" t="s">
        <v>488</v>
      </c>
    </row>
    <row r="473" spans="1:2" ht="15.75" x14ac:dyDescent="0.25">
      <c r="A473" s="6" t="str">
        <f>"6845"</f>
        <v>6845</v>
      </c>
      <c r="B473" s="6" t="s">
        <v>124</v>
      </c>
    </row>
    <row r="474" spans="1:2" ht="15.75" x14ac:dyDescent="0.25">
      <c r="A474" s="6" t="str">
        <f>"6847"</f>
        <v>6847</v>
      </c>
      <c r="B474" s="6" t="s">
        <v>489</v>
      </c>
    </row>
    <row r="475" spans="1:2" ht="15.75" x14ac:dyDescent="0.25">
      <c r="A475" s="6" t="str">
        <f>"6848"</f>
        <v>6848</v>
      </c>
      <c r="B475" s="6" t="s">
        <v>386</v>
      </c>
    </row>
    <row r="476" spans="1:2" ht="15.75" x14ac:dyDescent="0.25">
      <c r="A476" s="6" t="str">
        <f>"6850"</f>
        <v>6850</v>
      </c>
      <c r="B476" s="6" t="s">
        <v>490</v>
      </c>
    </row>
    <row r="477" spans="1:2" ht="15.75" x14ac:dyDescent="0.25">
      <c r="A477" s="6" t="str">
        <f>"6852"</f>
        <v>6852</v>
      </c>
      <c r="B477" s="6" t="s">
        <v>490</v>
      </c>
    </row>
    <row r="478" spans="1:2" ht="15.75" x14ac:dyDescent="0.25">
      <c r="A478" s="6" t="str">
        <f>"6890"</f>
        <v>6890</v>
      </c>
      <c r="B478" s="6" t="s">
        <v>491</v>
      </c>
    </row>
    <row r="479" spans="1:2" ht="15.75" x14ac:dyDescent="0.25">
      <c r="A479" s="6" t="str">
        <f>"6910"</f>
        <v>6910</v>
      </c>
      <c r="B479" s="6" t="s">
        <v>492</v>
      </c>
    </row>
    <row r="480" spans="1:2" ht="15.75" x14ac:dyDescent="0.25">
      <c r="A480" s="6" t="str">
        <f>"6911"</f>
        <v>6911</v>
      </c>
      <c r="B480" s="6" t="s">
        <v>493</v>
      </c>
    </row>
    <row r="481" spans="1:2" ht="15.75" x14ac:dyDescent="0.25">
      <c r="A481" s="6" t="str">
        <f>"6920"</f>
        <v>6920</v>
      </c>
      <c r="B481" s="6" t="s">
        <v>494</v>
      </c>
    </row>
    <row r="482" spans="1:2" ht="15.75" x14ac:dyDescent="0.25">
      <c r="A482" s="6" t="str">
        <f>"6921"</f>
        <v>6921</v>
      </c>
      <c r="B482" s="6" t="s">
        <v>495</v>
      </c>
    </row>
    <row r="483" spans="1:2" ht="15.75" x14ac:dyDescent="0.25">
      <c r="A483" s="6" t="str">
        <f>"6923"</f>
        <v>6923</v>
      </c>
      <c r="B483" s="6" t="s">
        <v>496</v>
      </c>
    </row>
    <row r="484" spans="1:2" ht="15.75" x14ac:dyDescent="0.25">
      <c r="A484" s="6" t="str">
        <f>"6940"</f>
        <v>6940</v>
      </c>
      <c r="B484" s="6" t="s">
        <v>497</v>
      </c>
    </row>
    <row r="485" spans="1:2" ht="15.75" x14ac:dyDescent="0.25">
      <c r="A485" s="6" t="str">
        <f>"6951"</f>
        <v>6951</v>
      </c>
      <c r="B485" s="6" t="s">
        <v>498</v>
      </c>
    </row>
    <row r="486" spans="1:2" ht="15.75" x14ac:dyDescent="0.25">
      <c r="A486" s="6" t="str">
        <f>"6952"</f>
        <v>6952</v>
      </c>
      <c r="B486" s="6" t="s">
        <v>499</v>
      </c>
    </row>
    <row r="487" spans="1:2" ht="15.75" x14ac:dyDescent="0.25">
      <c r="A487" s="6" t="str">
        <f>"6955"</f>
        <v>6955</v>
      </c>
      <c r="B487" s="6" t="s">
        <v>500</v>
      </c>
    </row>
    <row r="488" spans="1:2" ht="15.75" x14ac:dyDescent="0.25">
      <c r="A488" s="6" t="str">
        <f>"6956"</f>
        <v>6956</v>
      </c>
      <c r="B488" s="6" t="s">
        <v>501</v>
      </c>
    </row>
    <row r="489" spans="1:2" ht="15.75" x14ac:dyDescent="0.25">
      <c r="A489" s="6" t="str">
        <f>"6960"</f>
        <v>6960</v>
      </c>
      <c r="B489" s="6" t="s">
        <v>502</v>
      </c>
    </row>
    <row r="490" spans="1:2" ht="15.75" x14ac:dyDescent="0.25">
      <c r="A490" s="6" t="str">
        <f>"6962"</f>
        <v>6962</v>
      </c>
      <c r="B490" s="6" t="s">
        <v>503</v>
      </c>
    </row>
    <row r="491" spans="1:2" ht="15.75" x14ac:dyDescent="0.25">
      <c r="A491" s="6" t="str">
        <f>"6990"</f>
        <v>6990</v>
      </c>
      <c r="B491" s="6" t="s">
        <v>504</v>
      </c>
    </row>
    <row r="492" spans="1:2" ht="15.75" x14ac:dyDescent="0.25">
      <c r="A492" s="6" t="str">
        <f>"7010"</f>
        <v>7010</v>
      </c>
      <c r="B492" s="6" t="s">
        <v>505</v>
      </c>
    </row>
    <row r="493" spans="1:2" ht="15.75" x14ac:dyDescent="0.25">
      <c r="A493" s="6" t="str">
        <f>"7011"</f>
        <v>7011</v>
      </c>
      <c r="B493" s="6" t="s">
        <v>506</v>
      </c>
    </row>
    <row r="494" spans="1:2" ht="15.75" x14ac:dyDescent="0.25">
      <c r="A494" s="6" t="str">
        <f>"7013"</f>
        <v>7013</v>
      </c>
      <c r="B494" s="6" t="s">
        <v>507</v>
      </c>
    </row>
    <row r="495" spans="1:2" ht="15.75" x14ac:dyDescent="0.25">
      <c r="A495" s="6" t="str">
        <f>"7017"</f>
        <v>7017</v>
      </c>
      <c r="B495" s="6" t="s">
        <v>508</v>
      </c>
    </row>
    <row r="496" spans="1:2" ht="15.75" x14ac:dyDescent="0.25">
      <c r="A496" s="6" t="str">
        <f>"7019"</f>
        <v>7019</v>
      </c>
      <c r="B496" s="6" t="s">
        <v>509</v>
      </c>
    </row>
    <row r="497" spans="1:2" ht="15.75" x14ac:dyDescent="0.25">
      <c r="A497" s="6" t="str">
        <f>"7022"</f>
        <v>7022</v>
      </c>
      <c r="B497" s="6" t="s">
        <v>510</v>
      </c>
    </row>
    <row r="498" spans="1:2" ht="15.75" x14ac:dyDescent="0.25">
      <c r="A498" s="6" t="str">
        <f>"7023"</f>
        <v>7023</v>
      </c>
      <c r="B498" s="6" t="s">
        <v>511</v>
      </c>
    </row>
    <row r="499" spans="1:2" ht="15.75" x14ac:dyDescent="0.25">
      <c r="A499" s="6" t="str">
        <f>"7024"</f>
        <v>7024</v>
      </c>
      <c r="B499" s="6" t="s">
        <v>512</v>
      </c>
    </row>
    <row r="500" spans="1:2" ht="15.75" x14ac:dyDescent="0.25">
      <c r="A500" s="6" t="str">
        <f>"7025"</f>
        <v>7025</v>
      </c>
      <c r="B500" s="6" t="s">
        <v>513</v>
      </c>
    </row>
    <row r="501" spans="1:2" ht="15.75" x14ac:dyDescent="0.25">
      <c r="A501" s="6" t="str">
        <f>"7026"</f>
        <v>7026</v>
      </c>
      <c r="B501" s="6" t="s">
        <v>514</v>
      </c>
    </row>
    <row r="502" spans="1:2" ht="15.75" x14ac:dyDescent="0.25">
      <c r="A502" s="6" t="str">
        <f>"7027"</f>
        <v>7027</v>
      </c>
      <c r="B502" s="6" t="s">
        <v>515</v>
      </c>
    </row>
    <row r="503" spans="1:2" ht="15.75" x14ac:dyDescent="0.25">
      <c r="A503" s="6" t="str">
        <f>"7028"</f>
        <v>7028</v>
      </c>
      <c r="B503" s="6" t="s">
        <v>516</v>
      </c>
    </row>
    <row r="504" spans="1:2" ht="15.75" x14ac:dyDescent="0.25">
      <c r="A504" s="6" t="str">
        <f>"7029"</f>
        <v>7029</v>
      </c>
      <c r="B504" s="6" t="s">
        <v>517</v>
      </c>
    </row>
    <row r="505" spans="1:2" ht="15.75" x14ac:dyDescent="0.25">
      <c r="A505" s="6" t="str">
        <f>"7030"</f>
        <v>7030</v>
      </c>
      <c r="B505" s="6" t="s">
        <v>518</v>
      </c>
    </row>
    <row r="506" spans="1:2" ht="15.75" x14ac:dyDescent="0.25">
      <c r="A506" s="6" t="str">
        <f>"7031"</f>
        <v>7031</v>
      </c>
      <c r="B506" s="6" t="s">
        <v>519</v>
      </c>
    </row>
    <row r="507" spans="1:2" ht="15.75" x14ac:dyDescent="0.25">
      <c r="A507" s="6" t="str">
        <f>"7041"</f>
        <v>7041</v>
      </c>
      <c r="B507" s="6" t="s">
        <v>520</v>
      </c>
    </row>
    <row r="508" spans="1:2" ht="15.75" x14ac:dyDescent="0.25">
      <c r="A508" s="6" t="str">
        <f>"7045"</f>
        <v>7045</v>
      </c>
      <c r="B508" s="6" t="s">
        <v>521</v>
      </c>
    </row>
    <row r="509" spans="1:2" ht="15.75" x14ac:dyDescent="0.25">
      <c r="A509" s="6" t="str">
        <f>"7047"</f>
        <v>7047</v>
      </c>
      <c r="B509" s="6" t="s">
        <v>522</v>
      </c>
    </row>
    <row r="510" spans="1:2" ht="15.75" x14ac:dyDescent="0.25">
      <c r="A510" s="6" t="str">
        <f>"7048"</f>
        <v>7048</v>
      </c>
      <c r="B510" s="6" t="s">
        <v>523</v>
      </c>
    </row>
    <row r="511" spans="1:2" ht="15.75" x14ac:dyDescent="0.25">
      <c r="A511" s="6" t="str">
        <f>"7049"</f>
        <v>7049</v>
      </c>
      <c r="B511" s="6" t="s">
        <v>524</v>
      </c>
    </row>
    <row r="512" spans="1:2" ht="15.75" x14ac:dyDescent="0.25">
      <c r="A512" s="6" t="str">
        <f>"7050"</f>
        <v>7050</v>
      </c>
      <c r="B512" s="6" t="s">
        <v>525</v>
      </c>
    </row>
    <row r="513" spans="1:2" ht="15.75" x14ac:dyDescent="0.25">
      <c r="A513" s="6" t="str">
        <f>"7051"</f>
        <v>7051</v>
      </c>
      <c r="B513" s="6" t="s">
        <v>526</v>
      </c>
    </row>
    <row r="514" spans="1:2" ht="15.75" x14ac:dyDescent="0.25">
      <c r="A514" s="6" t="str">
        <f>"7052"</f>
        <v>7052</v>
      </c>
      <c r="B514" s="6" t="s">
        <v>527</v>
      </c>
    </row>
    <row r="515" spans="1:2" ht="15.75" x14ac:dyDescent="0.25">
      <c r="A515" s="6" t="str">
        <f>"7053"</f>
        <v>7053</v>
      </c>
      <c r="B515" s="6" t="s">
        <v>487</v>
      </c>
    </row>
    <row r="516" spans="1:2" ht="15.75" x14ac:dyDescent="0.25">
      <c r="A516" s="6" t="str">
        <f>"7054"</f>
        <v>7054</v>
      </c>
      <c r="B516" s="6" t="s">
        <v>528</v>
      </c>
    </row>
    <row r="517" spans="1:2" ht="15.75" x14ac:dyDescent="0.25">
      <c r="A517" s="6" t="str">
        <f>"7055"</f>
        <v>7055</v>
      </c>
      <c r="B517" s="6" t="s">
        <v>529</v>
      </c>
    </row>
    <row r="518" spans="1:2" ht="15.75" x14ac:dyDescent="0.25">
      <c r="A518" s="6" t="str">
        <f>"7056"</f>
        <v>7056</v>
      </c>
      <c r="B518" s="6" t="s">
        <v>244</v>
      </c>
    </row>
    <row r="519" spans="1:2" ht="15.75" x14ac:dyDescent="0.25">
      <c r="A519" s="6" t="str">
        <f>"7057"</f>
        <v>7057</v>
      </c>
      <c r="B519" s="6" t="s">
        <v>530</v>
      </c>
    </row>
    <row r="520" spans="1:2" ht="15.75" x14ac:dyDescent="0.25">
      <c r="A520" s="6" t="str">
        <f>"7058"</f>
        <v>7058</v>
      </c>
      <c r="B520" s="6" t="s">
        <v>531</v>
      </c>
    </row>
    <row r="521" spans="1:2" ht="15.75" x14ac:dyDescent="0.25">
      <c r="A521" s="6" t="str">
        <f>"7059"</f>
        <v>7059</v>
      </c>
      <c r="B521" s="6" t="s">
        <v>532</v>
      </c>
    </row>
    <row r="522" spans="1:2" ht="15.75" x14ac:dyDescent="0.25">
      <c r="A522" s="6" t="str">
        <f>"7100"</f>
        <v>7100</v>
      </c>
      <c r="B522" s="6" t="s">
        <v>533</v>
      </c>
    </row>
    <row r="523" spans="1:2" ht="15.75" x14ac:dyDescent="0.25">
      <c r="A523" s="6" t="str">
        <f>"7101"</f>
        <v>7101</v>
      </c>
      <c r="B523" s="6" t="s">
        <v>534</v>
      </c>
    </row>
    <row r="524" spans="1:2" ht="15.75" x14ac:dyDescent="0.25">
      <c r="A524" s="6" t="str">
        <f>"7102"</f>
        <v>7102</v>
      </c>
      <c r="B524" s="6" t="s">
        <v>535</v>
      </c>
    </row>
    <row r="525" spans="1:2" ht="15.75" x14ac:dyDescent="0.25">
      <c r="A525" s="6" t="str">
        <f>"7103"</f>
        <v>7103</v>
      </c>
      <c r="B525" s="6" t="s">
        <v>536</v>
      </c>
    </row>
    <row r="526" spans="1:2" ht="15.75" x14ac:dyDescent="0.25">
      <c r="A526" s="6" t="str">
        <f>"7104"</f>
        <v>7104</v>
      </c>
      <c r="B526" s="6" t="s">
        <v>537</v>
      </c>
    </row>
    <row r="527" spans="1:2" ht="15.75" x14ac:dyDescent="0.25">
      <c r="A527" s="6" t="str">
        <f>"7105"</f>
        <v>7105</v>
      </c>
      <c r="B527" s="6" t="s">
        <v>538</v>
      </c>
    </row>
    <row r="528" spans="1:2" ht="15.75" x14ac:dyDescent="0.25">
      <c r="A528" s="6" t="str">
        <f>"7106"</f>
        <v>7106</v>
      </c>
      <c r="B528" s="6" t="s">
        <v>539</v>
      </c>
    </row>
    <row r="529" spans="1:2" ht="15.75" x14ac:dyDescent="0.25">
      <c r="A529" s="6" t="str">
        <f>"7107"</f>
        <v>7107</v>
      </c>
      <c r="B529" s="6" t="s">
        <v>540</v>
      </c>
    </row>
    <row r="530" spans="1:2" ht="15.75" x14ac:dyDescent="0.25">
      <c r="A530" s="6" t="str">
        <f>"7108"</f>
        <v>7108</v>
      </c>
      <c r="B530" s="6" t="s">
        <v>541</v>
      </c>
    </row>
    <row r="531" spans="1:2" ht="15.75" x14ac:dyDescent="0.25">
      <c r="A531" s="6" t="str">
        <f>"7109"</f>
        <v>7109</v>
      </c>
      <c r="B531" s="6" t="s">
        <v>542</v>
      </c>
    </row>
    <row r="532" spans="1:2" ht="15.75" x14ac:dyDescent="0.25">
      <c r="A532" s="6" t="str">
        <f>"7110"</f>
        <v>7110</v>
      </c>
      <c r="B532" s="6" t="s">
        <v>543</v>
      </c>
    </row>
    <row r="533" spans="1:2" ht="15.75" x14ac:dyDescent="0.25">
      <c r="A533" s="6" t="str">
        <f>"7111"</f>
        <v>7111</v>
      </c>
      <c r="B533" s="6" t="s">
        <v>544</v>
      </c>
    </row>
    <row r="534" spans="1:2" ht="15.75" x14ac:dyDescent="0.25">
      <c r="A534" s="6" t="str">
        <f>"7112"</f>
        <v>7112</v>
      </c>
      <c r="B534" s="6" t="s">
        <v>545</v>
      </c>
    </row>
    <row r="535" spans="1:2" ht="15.75" x14ac:dyDescent="0.25">
      <c r="A535" s="6" t="str">
        <f>"7113"</f>
        <v>7113</v>
      </c>
      <c r="B535" s="6" t="s">
        <v>546</v>
      </c>
    </row>
    <row r="536" spans="1:2" ht="15.75" x14ac:dyDescent="0.25">
      <c r="A536" s="6" t="str">
        <f>"7114"</f>
        <v>7114</v>
      </c>
      <c r="B536" s="6" t="s">
        <v>547</v>
      </c>
    </row>
    <row r="537" spans="1:2" ht="15.75" x14ac:dyDescent="0.25">
      <c r="A537" s="6" t="str">
        <f>"7115"</f>
        <v>7115</v>
      </c>
      <c r="B537" s="6" t="s">
        <v>548</v>
      </c>
    </row>
    <row r="538" spans="1:2" ht="15.75" x14ac:dyDescent="0.25">
      <c r="A538" s="6" t="str">
        <f>"7116"</f>
        <v>7116</v>
      </c>
      <c r="B538" s="6" t="s">
        <v>549</v>
      </c>
    </row>
    <row r="539" spans="1:2" ht="15.75" x14ac:dyDescent="0.25">
      <c r="A539" s="6" t="str">
        <f>"7117"</f>
        <v>7117</v>
      </c>
      <c r="B539" s="6" t="s">
        <v>550</v>
      </c>
    </row>
    <row r="540" spans="1:2" ht="15.75" x14ac:dyDescent="0.25">
      <c r="A540" s="6" t="str">
        <f>"7118"</f>
        <v>7118</v>
      </c>
      <c r="B540" s="6" t="s">
        <v>551</v>
      </c>
    </row>
    <row r="541" spans="1:2" ht="15.75" x14ac:dyDescent="0.25">
      <c r="A541" s="6" t="str">
        <f>"7119"</f>
        <v>7119</v>
      </c>
      <c r="B541" s="6" t="s">
        <v>552</v>
      </c>
    </row>
    <row r="542" spans="1:2" ht="15.75" x14ac:dyDescent="0.25">
      <c r="A542" s="6" t="str">
        <f>"7120"</f>
        <v>7120</v>
      </c>
      <c r="B542" s="6" t="s">
        <v>409</v>
      </c>
    </row>
    <row r="543" spans="1:2" ht="15.75" x14ac:dyDescent="0.25">
      <c r="A543" s="6" t="str">
        <f>"7121"</f>
        <v>7121</v>
      </c>
      <c r="B543" s="6" t="s">
        <v>553</v>
      </c>
    </row>
    <row r="544" spans="1:2" ht="15.75" x14ac:dyDescent="0.25">
      <c r="A544" s="6" t="str">
        <f>"7122"</f>
        <v>7122</v>
      </c>
      <c r="B544" s="6" t="s">
        <v>554</v>
      </c>
    </row>
    <row r="545" spans="1:2" ht="15.75" x14ac:dyDescent="0.25">
      <c r="A545" s="6" t="str">
        <f>"7123"</f>
        <v>7123</v>
      </c>
      <c r="B545" s="6" t="s">
        <v>555</v>
      </c>
    </row>
    <row r="546" spans="1:2" ht="15.75" x14ac:dyDescent="0.25">
      <c r="A546" s="6" t="str">
        <f>"7124"</f>
        <v>7124</v>
      </c>
      <c r="B546" s="6" t="s">
        <v>556</v>
      </c>
    </row>
    <row r="547" spans="1:2" ht="15.75" x14ac:dyDescent="0.25">
      <c r="A547" s="6" t="str">
        <f>"7125"</f>
        <v>7125</v>
      </c>
      <c r="B547" s="6" t="s">
        <v>557</v>
      </c>
    </row>
    <row r="548" spans="1:2" ht="15.75" x14ac:dyDescent="0.25">
      <c r="A548" s="6" t="str">
        <f>"7126"</f>
        <v>7126</v>
      </c>
      <c r="B548" s="6" t="s">
        <v>558</v>
      </c>
    </row>
    <row r="549" spans="1:2" ht="15.75" x14ac:dyDescent="0.25">
      <c r="A549" s="6" t="str">
        <f>"7127"</f>
        <v>7127</v>
      </c>
      <c r="B549" s="6" t="s">
        <v>559</v>
      </c>
    </row>
    <row r="550" spans="1:2" ht="15.75" x14ac:dyDescent="0.25">
      <c r="A550" s="6" t="str">
        <f>"7128"</f>
        <v>7128</v>
      </c>
      <c r="B550" s="6" t="s">
        <v>560</v>
      </c>
    </row>
    <row r="551" spans="1:2" ht="15.75" x14ac:dyDescent="0.25">
      <c r="A551" s="6" t="str">
        <f>"7129"</f>
        <v>7129</v>
      </c>
      <c r="B551" s="6" t="s">
        <v>561</v>
      </c>
    </row>
    <row r="552" spans="1:2" ht="15.75" x14ac:dyDescent="0.25">
      <c r="A552" s="6" t="str">
        <f>"7130"</f>
        <v>7130</v>
      </c>
      <c r="B552" s="6" t="s">
        <v>562</v>
      </c>
    </row>
    <row r="553" spans="1:2" ht="15.75" x14ac:dyDescent="0.25">
      <c r="A553" s="6" t="str">
        <f>"7131"</f>
        <v>7131</v>
      </c>
      <c r="B553" s="6" t="s">
        <v>563</v>
      </c>
    </row>
    <row r="554" spans="1:2" ht="15.75" x14ac:dyDescent="0.25">
      <c r="A554" s="6" t="str">
        <f>"7132"</f>
        <v>7132</v>
      </c>
      <c r="B554" s="6" t="s">
        <v>564</v>
      </c>
    </row>
    <row r="555" spans="1:2" ht="15.75" x14ac:dyDescent="0.25">
      <c r="A555" s="6" t="str">
        <f>"7133"</f>
        <v>7133</v>
      </c>
      <c r="B555" s="6" t="s">
        <v>565</v>
      </c>
    </row>
    <row r="556" spans="1:2" ht="15.75" x14ac:dyDescent="0.25">
      <c r="A556" s="6" t="str">
        <f>"7134"</f>
        <v>7134</v>
      </c>
      <c r="B556" s="6" t="s">
        <v>566</v>
      </c>
    </row>
    <row r="557" spans="1:2" ht="15.75" x14ac:dyDescent="0.25">
      <c r="A557" s="6" t="str">
        <f>"7135"</f>
        <v>7135</v>
      </c>
      <c r="B557" s="6" t="s">
        <v>567</v>
      </c>
    </row>
    <row r="558" spans="1:2" ht="15.75" x14ac:dyDescent="0.25">
      <c r="A558" s="6" t="str">
        <f>"7136"</f>
        <v>7136</v>
      </c>
      <c r="B558" s="6" t="s">
        <v>568</v>
      </c>
    </row>
    <row r="559" spans="1:2" ht="15.75" x14ac:dyDescent="0.25">
      <c r="A559" s="6" t="str">
        <f>"7137"</f>
        <v>7137</v>
      </c>
      <c r="B559" s="6" t="s">
        <v>569</v>
      </c>
    </row>
    <row r="560" spans="1:2" ht="15.75" x14ac:dyDescent="0.25">
      <c r="A560" s="6" t="str">
        <f>"7138"</f>
        <v>7138</v>
      </c>
      <c r="B560" s="6" t="s">
        <v>570</v>
      </c>
    </row>
    <row r="561" spans="1:2" ht="15.75" x14ac:dyDescent="0.25">
      <c r="A561" s="6" t="str">
        <f>"7139"</f>
        <v>7139</v>
      </c>
      <c r="B561" s="6" t="s">
        <v>571</v>
      </c>
    </row>
    <row r="562" spans="1:2" ht="15.75" x14ac:dyDescent="0.25">
      <c r="A562" s="6" t="str">
        <f>"7140"</f>
        <v>7140</v>
      </c>
      <c r="B562" s="6" t="s">
        <v>572</v>
      </c>
    </row>
    <row r="563" spans="1:2" ht="15.75" x14ac:dyDescent="0.25">
      <c r="A563" s="6" t="str">
        <f>"7141"</f>
        <v>7141</v>
      </c>
      <c r="B563" s="6" t="s">
        <v>573</v>
      </c>
    </row>
    <row r="564" spans="1:2" ht="15.75" x14ac:dyDescent="0.25">
      <c r="A564" s="6" t="str">
        <f>"7142"</f>
        <v>7142</v>
      </c>
      <c r="B564" s="6" t="s">
        <v>574</v>
      </c>
    </row>
    <row r="565" spans="1:2" ht="15.75" x14ac:dyDescent="0.25">
      <c r="A565" s="6" t="str">
        <f>"7143"</f>
        <v>7143</v>
      </c>
      <c r="B565" s="6" t="s">
        <v>575</v>
      </c>
    </row>
    <row r="566" spans="1:2" ht="15.75" x14ac:dyDescent="0.25">
      <c r="A566" s="6" t="str">
        <f>"7144"</f>
        <v>7144</v>
      </c>
      <c r="B566" s="6" t="s">
        <v>576</v>
      </c>
    </row>
    <row r="567" spans="1:2" ht="15.75" x14ac:dyDescent="0.25">
      <c r="A567" s="6" t="str">
        <f>"7145"</f>
        <v>7145</v>
      </c>
      <c r="B567" s="6" t="s">
        <v>577</v>
      </c>
    </row>
    <row r="568" spans="1:2" ht="15.75" x14ac:dyDescent="0.25">
      <c r="A568" s="6" t="str">
        <f>"7146"</f>
        <v>7146</v>
      </c>
      <c r="B568" s="6" t="s">
        <v>578</v>
      </c>
    </row>
    <row r="569" spans="1:2" ht="15.75" x14ac:dyDescent="0.25">
      <c r="A569" s="6" t="str">
        <f>"7147"</f>
        <v>7147</v>
      </c>
      <c r="B569" s="6" t="s">
        <v>579</v>
      </c>
    </row>
    <row r="570" spans="1:2" ht="15.75" x14ac:dyDescent="0.25">
      <c r="A570" s="6" t="str">
        <f>"7148"</f>
        <v>7148</v>
      </c>
      <c r="B570" s="6" t="s">
        <v>580</v>
      </c>
    </row>
    <row r="571" spans="1:2" ht="15.75" x14ac:dyDescent="0.25">
      <c r="A571" s="6" t="str">
        <f>"7149"</f>
        <v>7149</v>
      </c>
      <c r="B571" s="6" t="s">
        <v>581</v>
      </c>
    </row>
    <row r="572" spans="1:2" ht="15.75" x14ac:dyDescent="0.25">
      <c r="A572" s="6" t="str">
        <f>"7150"</f>
        <v>7150</v>
      </c>
      <c r="B572" s="6" t="s">
        <v>582</v>
      </c>
    </row>
    <row r="573" spans="1:2" ht="15.75" x14ac:dyDescent="0.25">
      <c r="A573" s="6" t="str">
        <f>"7151"</f>
        <v>7151</v>
      </c>
      <c r="B573" s="6" t="s">
        <v>583</v>
      </c>
    </row>
    <row r="574" spans="1:2" ht="15.75" x14ac:dyDescent="0.25">
      <c r="A574" s="6" t="str">
        <f>"7152"</f>
        <v>7152</v>
      </c>
      <c r="B574" s="6" t="s">
        <v>584</v>
      </c>
    </row>
    <row r="575" spans="1:2" ht="15.75" x14ac:dyDescent="0.25">
      <c r="A575" s="6" t="str">
        <f>"7153"</f>
        <v>7153</v>
      </c>
      <c r="B575" s="6" t="s">
        <v>585</v>
      </c>
    </row>
    <row r="576" spans="1:2" ht="15.75" x14ac:dyDescent="0.25">
      <c r="A576" s="6" t="str">
        <f>"7154"</f>
        <v>7154</v>
      </c>
      <c r="B576" s="6" t="s">
        <v>586</v>
      </c>
    </row>
    <row r="577" spans="1:2" ht="15.75" x14ac:dyDescent="0.25">
      <c r="A577" s="6" t="str">
        <f>"7155"</f>
        <v>7155</v>
      </c>
      <c r="B577" s="6" t="s">
        <v>587</v>
      </c>
    </row>
    <row r="578" spans="1:2" ht="15.75" x14ac:dyDescent="0.25">
      <c r="A578" s="6" t="str">
        <f>"7156"</f>
        <v>7156</v>
      </c>
      <c r="B578" s="6" t="s">
        <v>588</v>
      </c>
    </row>
    <row r="579" spans="1:2" ht="15.75" x14ac:dyDescent="0.25">
      <c r="A579" s="6" t="str">
        <f>"7157"</f>
        <v>7157</v>
      </c>
      <c r="B579" s="6" t="s">
        <v>589</v>
      </c>
    </row>
    <row r="580" spans="1:2" ht="15.75" x14ac:dyDescent="0.25">
      <c r="A580" s="6" t="str">
        <f>"7158"</f>
        <v>7158</v>
      </c>
      <c r="B580" s="6" t="s">
        <v>590</v>
      </c>
    </row>
    <row r="581" spans="1:2" ht="15.75" x14ac:dyDescent="0.25">
      <c r="A581" s="6" t="str">
        <f>"7159"</f>
        <v>7159</v>
      </c>
      <c r="B581" s="6" t="s">
        <v>591</v>
      </c>
    </row>
    <row r="582" spans="1:2" ht="15.75" x14ac:dyDescent="0.25">
      <c r="A582" s="6" t="str">
        <f>"7160"</f>
        <v>7160</v>
      </c>
      <c r="B582" s="6" t="s">
        <v>592</v>
      </c>
    </row>
    <row r="583" spans="1:2" ht="15.75" x14ac:dyDescent="0.25">
      <c r="A583" s="6" t="str">
        <f>"7161"</f>
        <v>7161</v>
      </c>
      <c r="B583" s="6" t="s">
        <v>593</v>
      </c>
    </row>
    <row r="584" spans="1:2" ht="15.75" x14ac:dyDescent="0.25">
      <c r="A584" s="6" t="str">
        <f>"7162"</f>
        <v>7162</v>
      </c>
      <c r="B584" s="6" t="s">
        <v>594</v>
      </c>
    </row>
    <row r="585" spans="1:2" ht="15.75" x14ac:dyDescent="0.25">
      <c r="A585" s="6" t="str">
        <f>"7163"</f>
        <v>7163</v>
      </c>
      <c r="B585" s="6" t="s">
        <v>595</v>
      </c>
    </row>
    <row r="586" spans="1:2" ht="15.75" x14ac:dyDescent="0.25">
      <c r="A586" s="6" t="str">
        <f>"7164"</f>
        <v>7164</v>
      </c>
      <c r="B586" s="6" t="s">
        <v>596</v>
      </c>
    </row>
    <row r="587" spans="1:2" ht="15.75" x14ac:dyDescent="0.25">
      <c r="A587" s="6" t="str">
        <f>"7165"</f>
        <v>7165</v>
      </c>
      <c r="B587" s="6" t="s">
        <v>597</v>
      </c>
    </row>
    <row r="588" spans="1:2" ht="15.75" x14ac:dyDescent="0.25">
      <c r="A588" s="6" t="str">
        <f>"7166"</f>
        <v>7166</v>
      </c>
      <c r="B588" s="6" t="s">
        <v>598</v>
      </c>
    </row>
    <row r="589" spans="1:2" ht="15.75" x14ac:dyDescent="0.25">
      <c r="A589" s="6" t="str">
        <f>"7167"</f>
        <v>7167</v>
      </c>
      <c r="B589" s="6" t="s">
        <v>599</v>
      </c>
    </row>
    <row r="590" spans="1:2" ht="15.75" x14ac:dyDescent="0.25">
      <c r="A590" s="6" t="str">
        <f>"7168"</f>
        <v>7168</v>
      </c>
      <c r="B590" s="6" t="s">
        <v>600</v>
      </c>
    </row>
    <row r="591" spans="1:2" ht="15.75" x14ac:dyDescent="0.25">
      <c r="A591" s="6" t="str">
        <f>"7169"</f>
        <v>7169</v>
      </c>
      <c r="B591" s="6" t="s">
        <v>601</v>
      </c>
    </row>
    <row r="592" spans="1:2" ht="15.75" x14ac:dyDescent="0.25">
      <c r="A592" s="6" t="str">
        <f>"7170"</f>
        <v>7170</v>
      </c>
      <c r="B592" s="6" t="s">
        <v>602</v>
      </c>
    </row>
    <row r="593" spans="1:2" ht="15.75" x14ac:dyDescent="0.25">
      <c r="A593" s="6" t="str">
        <f>"7171"</f>
        <v>7171</v>
      </c>
      <c r="B593" s="6" t="s">
        <v>603</v>
      </c>
    </row>
    <row r="594" spans="1:2" ht="15.75" x14ac:dyDescent="0.25">
      <c r="A594" s="6" t="str">
        <f>"7172"</f>
        <v>7172</v>
      </c>
      <c r="B594" s="6" t="s">
        <v>604</v>
      </c>
    </row>
    <row r="595" spans="1:2" ht="15.75" x14ac:dyDescent="0.25">
      <c r="A595" s="6" t="str">
        <f>"7173"</f>
        <v>7173</v>
      </c>
      <c r="B595" s="6" t="s">
        <v>605</v>
      </c>
    </row>
    <row r="596" spans="1:2" ht="15.75" x14ac:dyDescent="0.25">
      <c r="A596" s="6" t="str">
        <f>"7174"</f>
        <v>7174</v>
      </c>
      <c r="B596" s="6" t="s">
        <v>606</v>
      </c>
    </row>
    <row r="597" spans="1:2" ht="15.75" x14ac:dyDescent="0.25">
      <c r="A597" s="6" t="str">
        <f>"7175"</f>
        <v>7175</v>
      </c>
      <c r="B597" s="6" t="s">
        <v>607</v>
      </c>
    </row>
    <row r="598" spans="1:2" ht="15.75" x14ac:dyDescent="0.25">
      <c r="A598" s="6" t="str">
        <f>"7176"</f>
        <v>7176</v>
      </c>
      <c r="B598" s="6" t="s">
        <v>608</v>
      </c>
    </row>
    <row r="599" spans="1:2" ht="15.75" x14ac:dyDescent="0.25">
      <c r="A599" s="6" t="str">
        <f>"7177"</f>
        <v>7177</v>
      </c>
      <c r="B599" s="6" t="s">
        <v>609</v>
      </c>
    </row>
    <row r="600" spans="1:2" ht="15.75" x14ac:dyDescent="0.25">
      <c r="A600" s="6" t="str">
        <f>"7178"</f>
        <v>7178</v>
      </c>
      <c r="B600" s="6" t="s">
        <v>610</v>
      </c>
    </row>
    <row r="601" spans="1:2" ht="15.75" x14ac:dyDescent="0.25">
      <c r="A601" s="6" t="str">
        <f>"7179"</f>
        <v>7179</v>
      </c>
      <c r="B601" s="6" t="s">
        <v>611</v>
      </c>
    </row>
    <row r="602" spans="1:2" ht="15.75" x14ac:dyDescent="0.25">
      <c r="A602" s="6" t="str">
        <f>"7180"</f>
        <v>7180</v>
      </c>
      <c r="B602" s="6" t="s">
        <v>612</v>
      </c>
    </row>
    <row r="603" spans="1:2" ht="15.75" x14ac:dyDescent="0.25">
      <c r="A603" s="6" t="str">
        <f>"7181"</f>
        <v>7181</v>
      </c>
      <c r="B603" s="6" t="s">
        <v>613</v>
      </c>
    </row>
    <row r="604" spans="1:2" ht="15.75" x14ac:dyDescent="0.25">
      <c r="A604" s="6" t="str">
        <f>"7182"</f>
        <v>7182</v>
      </c>
      <c r="B604" s="6" t="s">
        <v>614</v>
      </c>
    </row>
    <row r="605" spans="1:2" ht="15.75" x14ac:dyDescent="0.25">
      <c r="A605" s="6" t="str">
        <f>"7183"</f>
        <v>7183</v>
      </c>
      <c r="B605" s="6" t="s">
        <v>615</v>
      </c>
    </row>
    <row r="606" spans="1:2" ht="15.75" x14ac:dyDescent="0.25">
      <c r="A606" s="6" t="str">
        <f>"7184"</f>
        <v>7184</v>
      </c>
      <c r="B606" s="6" t="s">
        <v>616</v>
      </c>
    </row>
    <row r="607" spans="1:2" ht="15.75" x14ac:dyDescent="0.25">
      <c r="A607" s="6" t="str">
        <f>"7185"</f>
        <v>7185</v>
      </c>
      <c r="B607" s="6" t="s">
        <v>617</v>
      </c>
    </row>
    <row r="608" spans="1:2" ht="15.75" x14ac:dyDescent="0.25">
      <c r="A608" s="6" t="str">
        <f>"7186"</f>
        <v>7186</v>
      </c>
      <c r="B608" s="6" t="s">
        <v>618</v>
      </c>
    </row>
    <row r="609" spans="1:2" ht="15.75" x14ac:dyDescent="0.25">
      <c r="A609" s="6" t="str">
        <f>"7187"</f>
        <v>7187</v>
      </c>
      <c r="B609" s="6" t="s">
        <v>619</v>
      </c>
    </row>
    <row r="610" spans="1:2" ht="15.75" x14ac:dyDescent="0.25">
      <c r="A610" s="6" t="str">
        <f>"7188"</f>
        <v>7188</v>
      </c>
      <c r="B610" s="6" t="s">
        <v>620</v>
      </c>
    </row>
    <row r="611" spans="1:2" ht="15.75" x14ac:dyDescent="0.25">
      <c r="A611" s="6" t="str">
        <f>"7189"</f>
        <v>7189</v>
      </c>
      <c r="B611" s="6" t="s">
        <v>621</v>
      </c>
    </row>
    <row r="612" spans="1:2" ht="15.75" x14ac:dyDescent="0.25">
      <c r="A612" s="6" t="str">
        <f>"7190"</f>
        <v>7190</v>
      </c>
      <c r="B612" s="6" t="s">
        <v>622</v>
      </c>
    </row>
    <row r="613" spans="1:2" ht="15.75" x14ac:dyDescent="0.25">
      <c r="A613" s="6" t="str">
        <f>"7191"</f>
        <v>7191</v>
      </c>
      <c r="B613" s="6" t="s">
        <v>623</v>
      </c>
    </row>
    <row r="614" spans="1:2" ht="15.75" x14ac:dyDescent="0.25">
      <c r="A614" s="6" t="str">
        <f>"7192"</f>
        <v>7192</v>
      </c>
      <c r="B614" s="6" t="s">
        <v>624</v>
      </c>
    </row>
    <row r="615" spans="1:2" ht="15.75" x14ac:dyDescent="0.25">
      <c r="A615" s="6" t="str">
        <f>"7193"</f>
        <v>7193</v>
      </c>
      <c r="B615" s="6" t="s">
        <v>625</v>
      </c>
    </row>
    <row r="616" spans="1:2" ht="15.75" x14ac:dyDescent="0.25">
      <c r="A616" s="6" t="str">
        <f>"7194"</f>
        <v>7194</v>
      </c>
      <c r="B616" s="6" t="s">
        <v>626</v>
      </c>
    </row>
    <row r="617" spans="1:2" ht="15.75" x14ac:dyDescent="0.25">
      <c r="A617" s="6" t="str">
        <f>"7195"</f>
        <v>7195</v>
      </c>
      <c r="B617" s="6" t="s">
        <v>627</v>
      </c>
    </row>
    <row r="618" spans="1:2" ht="15.75" x14ac:dyDescent="0.25">
      <c r="A618" s="6" t="str">
        <f>"7196"</f>
        <v>7196</v>
      </c>
      <c r="B618" s="6" t="s">
        <v>628</v>
      </c>
    </row>
    <row r="619" spans="1:2" ht="15.75" x14ac:dyDescent="0.25">
      <c r="A619" s="6" t="str">
        <f>"7197"</f>
        <v>7197</v>
      </c>
      <c r="B619" s="6" t="s">
        <v>629</v>
      </c>
    </row>
    <row r="620" spans="1:2" ht="15.75" x14ac:dyDescent="0.25">
      <c r="A620" s="6" t="str">
        <f>"7198"</f>
        <v>7198</v>
      </c>
      <c r="B620" s="6" t="s">
        <v>630</v>
      </c>
    </row>
    <row r="621" spans="1:2" ht="15.75" x14ac:dyDescent="0.25">
      <c r="A621" s="6" t="str">
        <f>"7199"</f>
        <v>7199</v>
      </c>
      <c r="B621" s="6" t="s">
        <v>631</v>
      </c>
    </row>
    <row r="622" spans="1:2" ht="15.75" x14ac:dyDescent="0.25">
      <c r="A622" s="6" t="str">
        <f>"7200"</f>
        <v>7200</v>
      </c>
      <c r="B622" s="6" t="s">
        <v>632</v>
      </c>
    </row>
    <row r="623" spans="1:2" ht="15.75" x14ac:dyDescent="0.25">
      <c r="A623" s="6" t="str">
        <f>"7202"</f>
        <v>7202</v>
      </c>
      <c r="B623" s="6" t="s">
        <v>633</v>
      </c>
    </row>
    <row r="624" spans="1:2" ht="15.75" x14ac:dyDescent="0.25">
      <c r="A624" s="6" t="str">
        <f>"7203"</f>
        <v>7203</v>
      </c>
      <c r="B624" s="6" t="s">
        <v>634</v>
      </c>
    </row>
    <row r="625" spans="1:2" ht="15.75" x14ac:dyDescent="0.25">
      <c r="A625" s="6" t="str">
        <f>"7204"</f>
        <v>7204</v>
      </c>
      <c r="B625" s="6" t="s">
        <v>635</v>
      </c>
    </row>
    <row r="626" spans="1:2" ht="15.75" x14ac:dyDescent="0.25">
      <c r="A626" s="6" t="str">
        <f>"7220"</f>
        <v>7220</v>
      </c>
      <c r="B626" s="6" t="s">
        <v>636</v>
      </c>
    </row>
    <row r="627" spans="1:2" ht="15.75" x14ac:dyDescent="0.25">
      <c r="A627" s="6" t="str">
        <f>"7290"</f>
        <v>7290</v>
      </c>
      <c r="B627" s="6" t="s">
        <v>637</v>
      </c>
    </row>
    <row r="628" spans="1:2" ht="15.75" x14ac:dyDescent="0.25">
      <c r="A628" s="6" t="str">
        <f>"7310"</f>
        <v>7310</v>
      </c>
      <c r="B628" s="6" t="s">
        <v>638</v>
      </c>
    </row>
    <row r="629" spans="1:2" ht="15.75" x14ac:dyDescent="0.25">
      <c r="A629" s="6" t="str">
        <f>"7311"</f>
        <v>7311</v>
      </c>
      <c r="B629" s="6" t="s">
        <v>639</v>
      </c>
    </row>
    <row r="630" spans="1:2" ht="15.75" x14ac:dyDescent="0.25">
      <c r="A630" s="6" t="str">
        <f>"7320"</f>
        <v>7320</v>
      </c>
      <c r="B630" s="6" t="s">
        <v>640</v>
      </c>
    </row>
    <row r="631" spans="1:2" ht="15.75" x14ac:dyDescent="0.25">
      <c r="A631" s="6" t="str">
        <f>"7321"</f>
        <v>7321</v>
      </c>
      <c r="B631" s="6" t="s">
        <v>641</v>
      </c>
    </row>
    <row r="632" spans="1:2" ht="15.75" x14ac:dyDescent="0.25">
      <c r="A632" s="6" t="str">
        <f>"7322"</f>
        <v>7322</v>
      </c>
      <c r="B632" s="6" t="s">
        <v>642</v>
      </c>
    </row>
    <row r="633" spans="1:2" ht="15.75" x14ac:dyDescent="0.25">
      <c r="A633" s="6" t="str">
        <f>"7323"</f>
        <v>7323</v>
      </c>
      <c r="B633" s="6" t="s">
        <v>643</v>
      </c>
    </row>
    <row r="634" spans="1:2" ht="15.75" x14ac:dyDescent="0.25">
      <c r="A634" s="6" t="str">
        <f>"7324"</f>
        <v>7324</v>
      </c>
      <c r="B634" s="6" t="s">
        <v>644</v>
      </c>
    </row>
    <row r="635" spans="1:2" ht="15.75" x14ac:dyDescent="0.25">
      <c r="A635" s="6" t="str">
        <f>"7900"</f>
        <v>7900</v>
      </c>
      <c r="B635" s="6" t="s">
        <v>645</v>
      </c>
    </row>
    <row r="636" spans="1:2" ht="15.75" x14ac:dyDescent="0.25">
      <c r="A636" s="6" t="str">
        <f>"9901"</f>
        <v>9901</v>
      </c>
      <c r="B636" s="6" t="s">
        <v>646</v>
      </c>
    </row>
    <row r="637" spans="1:2" ht="15.75" x14ac:dyDescent="0.25">
      <c r="A637" s="6" t="str">
        <f>"9902"</f>
        <v>9902</v>
      </c>
      <c r="B637" s="6" t="s">
        <v>647</v>
      </c>
    </row>
    <row r="638" spans="1:2" ht="15.75" x14ac:dyDescent="0.25">
      <c r="A638" s="6" t="str">
        <f>"9903"</f>
        <v>9903</v>
      </c>
      <c r="B638" s="6" t="s">
        <v>648</v>
      </c>
    </row>
    <row r="639" spans="1:2" ht="15.75" x14ac:dyDescent="0.25">
      <c r="A639" s="6" t="str">
        <f>"9905"</f>
        <v>9905</v>
      </c>
      <c r="B639" s="6" t="s">
        <v>649</v>
      </c>
    </row>
    <row r="640" spans="1:2" ht="15.75" x14ac:dyDescent="0.25">
      <c r="A640" s="6" t="str">
        <f>"9910"</f>
        <v>9910</v>
      </c>
      <c r="B640" s="6" t="s">
        <v>650</v>
      </c>
    </row>
    <row r="641" spans="1:2" ht="15.75" x14ac:dyDescent="0.25">
      <c r="A641" s="6" t="str">
        <f>"9999"</f>
        <v>9999</v>
      </c>
      <c r="B641" s="6" t="s">
        <v>651</v>
      </c>
    </row>
    <row r="642" spans="1:2" ht="15.75" x14ac:dyDescent="0.25">
      <c r="A642" s="6"/>
      <c r="B642" s="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196B-F4F0-4F02-83C8-51AAACBF20A5}">
  <dimension ref="A1:S9297"/>
  <sheetViews>
    <sheetView tabSelected="1" topLeftCell="A93" zoomScale="90" zoomScaleNormal="90" workbookViewId="0">
      <selection activeCell="B116" sqref="B116"/>
    </sheetView>
  </sheetViews>
  <sheetFormatPr defaultColWidth="8.7109375" defaultRowHeight="15.75" outlineLevelCol="1" x14ac:dyDescent="0.25"/>
  <cols>
    <col min="1" max="1" width="43.140625" style="5" bestFit="1" customWidth="1"/>
    <col min="2" max="2" width="43.140625" style="2" customWidth="1"/>
    <col min="3" max="3" width="15.42578125" style="2" bestFit="1" customWidth="1"/>
    <col min="4" max="6" width="24.140625" style="2" bestFit="1" customWidth="1"/>
    <col min="7" max="10" width="24.140625" style="2" bestFit="1" customWidth="1" outlineLevel="1"/>
    <col min="11" max="19" width="24.140625" style="2" bestFit="1" customWidth="1"/>
    <col min="20" max="20" width="23.7109375" style="2" bestFit="1" customWidth="1"/>
    <col min="21" max="30" width="19.42578125" style="2" customWidth="1"/>
    <col min="31" max="95" width="39.5703125" style="2" bestFit="1" customWidth="1"/>
    <col min="96" max="16384" width="8.7109375" style="2"/>
  </cols>
  <sheetData>
    <row r="1" spans="1:19" x14ac:dyDescent="0.25">
      <c r="A1" s="1"/>
      <c r="B1"/>
    </row>
    <row r="2" spans="1:19" s="3" customFormat="1" x14ac:dyDescent="0.25">
      <c r="A2" s="8" t="s">
        <v>653</v>
      </c>
      <c r="B2" s="9" t="s">
        <v>1288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</row>
    <row r="3" spans="1:19" s="3" customFormat="1" x14ac:dyDescent="0.25">
      <c r="A3" s="21" t="s">
        <v>1289</v>
      </c>
      <c r="B3" s="9" t="s">
        <v>654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 x14ac:dyDescent="0.25">
      <c r="A4" s="21" t="s">
        <v>1290</v>
      </c>
      <c r="B4" s="9" t="s">
        <v>655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 x14ac:dyDescent="0.25">
      <c r="A5" s="8">
        <v>10195</v>
      </c>
      <c r="B5" s="9" t="s">
        <v>656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 x14ac:dyDescent="0.25">
      <c r="A6" s="8">
        <v>10201</v>
      </c>
      <c r="B6" s="9" t="s">
        <v>657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 x14ac:dyDescent="0.25">
      <c r="A7" s="8">
        <v>10302</v>
      </c>
      <c r="B7" s="9" t="s">
        <v>658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x14ac:dyDescent="0.25">
      <c r="A8" s="8">
        <v>10303</v>
      </c>
      <c r="B8" s="9" t="s">
        <v>659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 x14ac:dyDescent="0.25">
      <c r="A9" s="8">
        <v>10311</v>
      </c>
      <c r="B9" s="9" t="s">
        <v>660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 x14ac:dyDescent="0.25">
      <c r="A10" s="8">
        <v>10401</v>
      </c>
      <c r="B10" s="9" t="s">
        <v>661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s="4" customFormat="1" x14ac:dyDescent="0.25">
      <c r="A11" s="8">
        <v>10501</v>
      </c>
      <c r="B11" s="9" t="s">
        <v>662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x14ac:dyDescent="0.25">
      <c r="A12" s="8">
        <v>10502</v>
      </c>
      <c r="B12" s="9" t="s">
        <v>663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x14ac:dyDescent="0.25">
      <c r="A13" s="8">
        <v>10503</v>
      </c>
      <c r="B13" s="9" t="s">
        <v>664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x14ac:dyDescent="0.25">
      <c r="A14" s="8">
        <v>10504</v>
      </c>
      <c r="B14" s="9" t="s">
        <v>1243</v>
      </c>
      <c r="C14"/>
      <c r="D14"/>
      <c r="E14"/>
      <c r="F14"/>
      <c r="G14"/>
      <c r="H14"/>
    </row>
    <row r="15" spans="1:19" x14ac:dyDescent="0.25">
      <c r="A15" s="8">
        <v>10505</v>
      </c>
      <c r="B15" s="9" t="s">
        <v>665</v>
      </c>
      <c r="C15"/>
      <c r="D15"/>
      <c r="E15"/>
      <c r="F15"/>
      <c r="G15"/>
      <c r="H15"/>
    </row>
    <row r="16" spans="1:19" x14ac:dyDescent="0.25">
      <c r="A16" s="8">
        <v>10506</v>
      </c>
      <c r="B16" s="9" t="s">
        <v>666</v>
      </c>
      <c r="C16"/>
      <c r="D16"/>
      <c r="E16"/>
      <c r="F16"/>
      <c r="G16"/>
      <c r="H16"/>
    </row>
    <row r="17" spans="1:19" x14ac:dyDescent="0.25">
      <c r="A17" s="8">
        <v>10507</v>
      </c>
      <c r="B17" s="9" t="s">
        <v>667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x14ac:dyDescent="0.25">
      <c r="A18" s="8">
        <v>10508</v>
      </c>
      <c r="B18" s="9" t="s">
        <v>668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x14ac:dyDescent="0.25">
      <c r="A19" s="8">
        <v>10509</v>
      </c>
      <c r="B19" s="9" t="s">
        <v>669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x14ac:dyDescent="0.25">
      <c r="A20" s="8">
        <v>10599</v>
      </c>
      <c r="B20" s="9" t="s">
        <v>670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x14ac:dyDescent="0.25">
      <c r="A21" s="8">
        <v>10646</v>
      </c>
      <c r="B21" s="9" t="s">
        <v>671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5">
      <c r="A22" s="8">
        <v>10650</v>
      </c>
      <c r="B22" s="9" t="s">
        <v>672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25">
      <c r="A23" s="8">
        <v>10701</v>
      </c>
      <c r="B23" s="9" t="s">
        <v>151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x14ac:dyDescent="0.25">
      <c r="A24" s="8">
        <v>10702</v>
      </c>
      <c r="B24" s="9" t="s">
        <v>673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x14ac:dyDescent="0.25">
      <c r="A25" s="8">
        <v>10704</v>
      </c>
      <c r="B25" s="9" t="s">
        <v>674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x14ac:dyDescent="0.25">
      <c r="A26" s="8">
        <v>10715</v>
      </c>
      <c r="B26" s="9" t="s">
        <v>675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x14ac:dyDescent="0.25">
      <c r="A27" s="8">
        <v>10721</v>
      </c>
      <c r="B27" s="9" t="s">
        <v>676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x14ac:dyDescent="0.25">
      <c r="A28" s="8">
        <v>10722</v>
      </c>
      <c r="B28" s="9" t="s">
        <v>677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x14ac:dyDescent="0.25">
      <c r="A29" s="8">
        <v>10723</v>
      </c>
      <c r="B29" s="9" t="s">
        <v>678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x14ac:dyDescent="0.25">
      <c r="A30" s="8">
        <v>10724</v>
      </c>
      <c r="B30" s="9" t="s">
        <v>679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25">
      <c r="A31" s="8">
        <v>10731</v>
      </c>
      <c r="B31" s="9" t="s">
        <v>680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x14ac:dyDescent="0.25">
      <c r="A32" s="8">
        <v>10733</v>
      </c>
      <c r="B32" s="9" t="s">
        <v>681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25">
      <c r="A33" s="8">
        <v>10741</v>
      </c>
      <c r="B33" s="9" t="s">
        <v>682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x14ac:dyDescent="0.25">
      <c r="A34" s="8">
        <v>10801</v>
      </c>
      <c r="B34" s="9" t="s">
        <v>683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x14ac:dyDescent="0.25">
      <c r="A35" s="8">
        <v>10904</v>
      </c>
      <c r="B35" s="9" t="s">
        <v>684</v>
      </c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x14ac:dyDescent="0.25">
      <c r="A36" s="8">
        <v>10905</v>
      </c>
      <c r="B36" s="9" t="s">
        <v>685</v>
      </c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x14ac:dyDescent="0.25">
      <c r="A37" s="8">
        <v>10925</v>
      </c>
      <c r="B37" s="9" t="s">
        <v>686</v>
      </c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x14ac:dyDescent="0.25">
      <c r="A38" s="8">
        <v>10935</v>
      </c>
      <c r="B38" s="9" t="s">
        <v>687</v>
      </c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25">
      <c r="A39" s="8">
        <v>10936</v>
      </c>
      <c r="B39" s="9" t="s">
        <v>688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x14ac:dyDescent="0.25">
      <c r="A40" s="8">
        <v>11101</v>
      </c>
      <c r="B40" s="9" t="s">
        <v>382</v>
      </c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x14ac:dyDescent="0.25">
      <c r="A41" s="8">
        <v>11208</v>
      </c>
      <c r="B41" s="9" t="s">
        <v>689</v>
      </c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25">
      <c r="A42" s="8">
        <v>11301</v>
      </c>
      <c r="B42" s="9" t="s">
        <v>690</v>
      </c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25">
      <c r="A43" s="8">
        <v>20201</v>
      </c>
      <c r="B43" s="9" t="s">
        <v>692</v>
      </c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x14ac:dyDescent="0.25">
      <c r="A44" s="8">
        <v>20203</v>
      </c>
      <c r="B44" s="9" t="s">
        <v>693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x14ac:dyDescent="0.25">
      <c r="A45" s="8">
        <v>20211</v>
      </c>
      <c r="B45" s="9" t="s">
        <v>694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x14ac:dyDescent="0.25">
      <c r="A46" s="8">
        <v>20212</v>
      </c>
      <c r="B46" s="9" t="s">
        <v>695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x14ac:dyDescent="0.25">
      <c r="A47" s="8">
        <v>20228</v>
      </c>
      <c r="B47" s="9" t="s">
        <v>1292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x14ac:dyDescent="0.25">
      <c r="A48" s="8">
        <v>20301</v>
      </c>
      <c r="B48" s="9" t="s">
        <v>696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x14ac:dyDescent="0.25">
      <c r="A49" s="8">
        <v>20305</v>
      </c>
      <c r="B49" s="9" t="s">
        <v>697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25">
      <c r="A50" s="8">
        <v>20307</v>
      </c>
      <c r="B50" s="9" t="s">
        <v>698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25">
      <c r="A51" s="8">
        <v>20308</v>
      </c>
      <c r="B51" s="9" t="s">
        <v>699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25">
      <c r="A52" s="8">
        <v>20309</v>
      </c>
      <c r="B52" s="9" t="s">
        <v>700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25">
      <c r="A53" s="8">
        <v>20321</v>
      </c>
      <c r="B53" s="9" t="s">
        <v>701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25">
      <c r="A54" s="8">
        <v>20329</v>
      </c>
      <c r="B54" s="9" t="s">
        <v>702</v>
      </c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x14ac:dyDescent="0.25">
      <c r="A55" s="8">
        <v>20400</v>
      </c>
      <c r="B55" s="9" t="s">
        <v>703</v>
      </c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25">
      <c r="A56" s="8">
        <v>20401</v>
      </c>
      <c r="B56" s="9" t="s">
        <v>341</v>
      </c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x14ac:dyDescent="0.25">
      <c r="A57" s="8">
        <v>20402</v>
      </c>
      <c r="B57" s="9" t="s">
        <v>704</v>
      </c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5">
      <c r="A58" s="8">
        <v>20403</v>
      </c>
      <c r="B58" s="9" t="s">
        <v>705</v>
      </c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 x14ac:dyDescent="0.25">
      <c r="A59" s="8">
        <v>20405</v>
      </c>
      <c r="B59" s="9" t="s">
        <v>706</v>
      </c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x14ac:dyDescent="0.25">
      <c r="A60" s="8">
        <v>20408</v>
      </c>
      <c r="B60" s="9" t="s">
        <v>707</v>
      </c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x14ac:dyDescent="0.25">
      <c r="A61" s="8">
        <v>20409</v>
      </c>
      <c r="B61" s="9" t="s">
        <v>708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x14ac:dyDescent="0.25">
      <c r="A62" s="8">
        <v>20415</v>
      </c>
      <c r="B62" s="9" t="s">
        <v>709</v>
      </c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x14ac:dyDescent="0.25">
      <c r="A63" s="8">
        <v>20416</v>
      </c>
      <c r="B63" s="9" t="s">
        <v>710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x14ac:dyDescent="0.25">
      <c r="A64" s="8">
        <v>20421</v>
      </c>
      <c r="B64" s="9" t="s">
        <v>711</v>
      </c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x14ac:dyDescent="0.25">
      <c r="A65" s="8">
        <v>20422</v>
      </c>
      <c r="B65" s="9" t="s">
        <v>712</v>
      </c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x14ac:dyDescent="0.25">
      <c r="A66" s="8">
        <v>20423</v>
      </c>
      <c r="B66" s="9" t="s">
        <v>1244</v>
      </c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x14ac:dyDescent="0.25">
      <c r="A67" s="8">
        <v>20426</v>
      </c>
      <c r="B67" s="9" t="s">
        <v>713</v>
      </c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x14ac:dyDescent="0.25">
      <c r="A68" s="8">
        <v>20429</v>
      </c>
      <c r="B68" s="9" t="s">
        <v>1245</v>
      </c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x14ac:dyDescent="0.25">
      <c r="A69" s="8">
        <v>20430</v>
      </c>
      <c r="B69" s="9" t="s">
        <v>714</v>
      </c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x14ac:dyDescent="0.25">
      <c r="A70" s="8">
        <v>20499</v>
      </c>
      <c r="B70" s="9" t="s">
        <v>715</v>
      </c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x14ac:dyDescent="0.25">
      <c r="A71" s="8">
        <v>20702</v>
      </c>
      <c r="B71" s="9" t="s">
        <v>1246</v>
      </c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x14ac:dyDescent="0.25">
      <c r="A72" s="8">
        <v>20711</v>
      </c>
      <c r="B72" s="9" t="s">
        <v>717</v>
      </c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 x14ac:dyDescent="0.25">
      <c r="A73" s="8">
        <v>20731</v>
      </c>
      <c r="B73" s="9" t="s">
        <v>718</v>
      </c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 x14ac:dyDescent="0.25">
      <c r="A74" s="8">
        <v>20801</v>
      </c>
      <c r="B74" s="9" t="s">
        <v>719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x14ac:dyDescent="0.25">
      <c r="A75" s="8">
        <v>20804</v>
      </c>
      <c r="B75" s="9" t="s">
        <v>720</v>
      </c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x14ac:dyDescent="0.25">
      <c r="A76" s="8">
        <v>20811</v>
      </c>
      <c r="B76" s="9" t="s">
        <v>721</v>
      </c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25">
      <c r="A77" s="8">
        <v>20812</v>
      </c>
      <c r="B77" s="9" t="s">
        <v>722</v>
      </c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x14ac:dyDescent="0.25">
      <c r="A78" s="8">
        <v>20815</v>
      </c>
      <c r="B78" s="9" t="s">
        <v>723</v>
      </c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x14ac:dyDescent="0.25">
      <c r="A79" s="8">
        <v>20816</v>
      </c>
      <c r="B79" s="9" t="s">
        <v>724</v>
      </c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x14ac:dyDescent="0.25">
      <c r="A80" s="8">
        <v>20817</v>
      </c>
      <c r="B80" s="9" t="s">
        <v>725</v>
      </c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x14ac:dyDescent="0.25">
      <c r="A81" s="8">
        <v>20818</v>
      </c>
      <c r="B81" s="9" t="s">
        <v>726</v>
      </c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x14ac:dyDescent="0.25">
      <c r="A82" s="8">
        <v>20819</v>
      </c>
      <c r="B82" s="9" t="s">
        <v>727</v>
      </c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x14ac:dyDescent="0.25">
      <c r="A83" s="8">
        <v>21001</v>
      </c>
      <c r="B83" s="9" t="s">
        <v>728</v>
      </c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 x14ac:dyDescent="0.25">
      <c r="A84" s="8">
        <v>21201</v>
      </c>
      <c r="B84" s="9" t="s">
        <v>376</v>
      </c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x14ac:dyDescent="0.25">
      <c r="A85" s="8">
        <v>21301</v>
      </c>
      <c r="B85" s="9" t="s">
        <v>729</v>
      </c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 x14ac:dyDescent="0.25">
      <c r="A86" s="8">
        <v>21302</v>
      </c>
      <c r="B86" s="9" t="s">
        <v>730</v>
      </c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 x14ac:dyDescent="0.25">
      <c r="A87" s="8">
        <v>21303</v>
      </c>
      <c r="B87" s="9" t="s">
        <v>731</v>
      </c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 x14ac:dyDescent="0.25">
      <c r="A88" s="8">
        <v>21401</v>
      </c>
      <c r="B88" s="9" t="s">
        <v>732</v>
      </c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x14ac:dyDescent="0.25">
      <c r="A89" s="8">
        <v>21504</v>
      </c>
      <c r="B89" s="9" t="s">
        <v>733</v>
      </c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 x14ac:dyDescent="0.25">
      <c r="A90" s="8">
        <v>21506</v>
      </c>
      <c r="B90" s="9" t="s">
        <v>734</v>
      </c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x14ac:dyDescent="0.25">
      <c r="A91" s="8">
        <v>21507</v>
      </c>
      <c r="B91" s="9" t="s">
        <v>735</v>
      </c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x14ac:dyDescent="0.25">
      <c r="A92" s="8">
        <v>21508</v>
      </c>
      <c r="B92" s="9" t="s">
        <v>736</v>
      </c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x14ac:dyDescent="0.25">
      <c r="A93" s="8">
        <v>21518</v>
      </c>
      <c r="B93" s="9" t="s">
        <v>1247</v>
      </c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x14ac:dyDescent="0.25">
      <c r="A94" s="8">
        <v>21611</v>
      </c>
      <c r="B94" s="9" t="s">
        <v>737</v>
      </c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x14ac:dyDescent="0.25">
      <c r="A95" s="8">
        <v>22001</v>
      </c>
      <c r="B95" s="9" t="s">
        <v>1248</v>
      </c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x14ac:dyDescent="0.25">
      <c r="A96" s="8">
        <v>22004</v>
      </c>
      <c r="B96" s="9" t="s">
        <v>738</v>
      </c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1:19" x14ac:dyDescent="0.25">
      <c r="A97" s="8">
        <v>22005</v>
      </c>
      <c r="B97" s="9" t="s">
        <v>739</v>
      </c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1:19" x14ac:dyDescent="0.25">
      <c r="A98" s="8">
        <v>22008</v>
      </c>
      <c r="B98" s="9" t="s">
        <v>740</v>
      </c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1:19" x14ac:dyDescent="0.25">
      <c r="A99" s="8">
        <v>22010</v>
      </c>
      <c r="B99" s="9" t="s">
        <v>741</v>
      </c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1:19" x14ac:dyDescent="0.25">
      <c r="A100" s="8">
        <v>22011</v>
      </c>
      <c r="B100" s="9" t="s">
        <v>742</v>
      </c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1:19" x14ac:dyDescent="0.25">
      <c r="A101" s="8">
        <v>22012</v>
      </c>
      <c r="B101" s="9" t="s">
        <v>1249</v>
      </c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1:19" x14ac:dyDescent="0.25">
      <c r="A102" s="8">
        <v>22013</v>
      </c>
      <c r="B102" s="9" t="s">
        <v>743</v>
      </c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1:19" x14ac:dyDescent="0.25">
      <c r="A103" s="8">
        <v>22301</v>
      </c>
      <c r="B103" s="9" t="s">
        <v>745</v>
      </c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1:19" x14ac:dyDescent="0.25">
      <c r="A104" s="8">
        <v>22418</v>
      </c>
      <c r="B104" s="9" t="s">
        <v>746</v>
      </c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1:19" x14ac:dyDescent="0.25">
      <c r="A105" s="8">
        <v>22419</v>
      </c>
      <c r="B105" s="9" t="s">
        <v>747</v>
      </c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1:19" x14ac:dyDescent="0.25">
      <c r="A106" s="8">
        <v>22500</v>
      </c>
      <c r="B106" s="9" t="s">
        <v>748</v>
      </c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  <row r="107" spans="1:19" x14ac:dyDescent="0.25">
      <c r="A107" s="8">
        <v>22502</v>
      </c>
      <c r="B107" s="9" t="s">
        <v>749</v>
      </c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</row>
    <row r="108" spans="1:19" x14ac:dyDescent="0.25">
      <c r="A108" s="8">
        <v>22505</v>
      </c>
      <c r="B108" s="9" t="s">
        <v>750</v>
      </c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</row>
    <row r="109" spans="1:19" x14ac:dyDescent="0.25">
      <c r="A109" s="8">
        <v>22507</v>
      </c>
      <c r="B109" s="9" t="s">
        <v>751</v>
      </c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</row>
    <row r="110" spans="1:19" x14ac:dyDescent="0.25">
      <c r="A110" s="8">
        <v>22591</v>
      </c>
      <c r="B110" s="9" t="s">
        <v>752</v>
      </c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</row>
    <row r="111" spans="1:19" x14ac:dyDescent="0.25">
      <c r="A111" s="8">
        <v>22593</v>
      </c>
      <c r="B111" s="9" t="s">
        <v>753</v>
      </c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</row>
    <row r="112" spans="1:19" x14ac:dyDescent="0.25">
      <c r="A112" s="8">
        <v>22594</v>
      </c>
      <c r="B112" s="9" t="s">
        <v>754</v>
      </c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</row>
    <row r="113" spans="1:19" x14ac:dyDescent="0.25">
      <c r="A113" s="8">
        <v>22596</v>
      </c>
      <c r="B113" s="9" t="s">
        <v>755</v>
      </c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</row>
    <row r="114" spans="1:19" x14ac:dyDescent="0.25">
      <c r="A114" s="8">
        <v>22597</v>
      </c>
      <c r="B114" s="9" t="s">
        <v>756</v>
      </c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</row>
    <row r="115" spans="1:19" x14ac:dyDescent="0.25">
      <c r="A115" s="8">
        <v>22826</v>
      </c>
      <c r="B115" s="9" t="s">
        <v>757</v>
      </c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</row>
    <row r="116" spans="1:19" x14ac:dyDescent="0.25">
      <c r="A116" s="8">
        <v>24102</v>
      </c>
      <c r="B116" s="9" t="s">
        <v>758</v>
      </c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</row>
    <row r="117" spans="1:19" x14ac:dyDescent="0.25">
      <c r="A117" s="8">
        <v>25503</v>
      </c>
      <c r="B117" s="9" t="s">
        <v>759</v>
      </c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</row>
    <row r="118" spans="1:19" x14ac:dyDescent="0.25">
      <c r="A118" s="8">
        <v>25597</v>
      </c>
      <c r="B118" s="9" t="s">
        <v>760</v>
      </c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</row>
    <row r="119" spans="1:19" x14ac:dyDescent="0.25">
      <c r="A119" s="8">
        <v>25598</v>
      </c>
      <c r="B119" s="9" t="s">
        <v>761</v>
      </c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</row>
    <row r="120" spans="1:19" x14ac:dyDescent="0.25">
      <c r="A120" s="8">
        <v>25600</v>
      </c>
      <c r="B120" s="9" t="s">
        <v>762</v>
      </c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</row>
    <row r="121" spans="1:19" x14ac:dyDescent="0.25">
      <c r="A121" s="8">
        <v>25601</v>
      </c>
      <c r="B121" s="9" t="s">
        <v>130</v>
      </c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</row>
    <row r="122" spans="1:19" x14ac:dyDescent="0.25">
      <c r="A122" s="8">
        <v>25619</v>
      </c>
      <c r="B122" s="9" t="s">
        <v>763</v>
      </c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</row>
    <row r="123" spans="1:19" x14ac:dyDescent="0.25">
      <c r="A123" s="8">
        <v>25620</v>
      </c>
      <c r="B123" s="9" t="s">
        <v>764</v>
      </c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</row>
    <row r="124" spans="1:19" x14ac:dyDescent="0.25">
      <c r="A124" s="8">
        <v>25623</v>
      </c>
      <c r="B124" s="9" t="s">
        <v>765</v>
      </c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</row>
    <row r="125" spans="1:19" x14ac:dyDescent="0.25">
      <c r="A125" s="8">
        <v>25700</v>
      </c>
      <c r="B125" s="9" t="s">
        <v>1105</v>
      </c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</row>
    <row r="126" spans="1:19" x14ac:dyDescent="0.25">
      <c r="A126" s="8">
        <v>25701</v>
      </c>
      <c r="B126" s="9" t="s">
        <v>766</v>
      </c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</row>
    <row r="127" spans="1:19" x14ac:dyDescent="0.25">
      <c r="A127" s="8">
        <v>25702</v>
      </c>
      <c r="B127" s="9" t="s">
        <v>767</v>
      </c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</row>
    <row r="128" spans="1:19" x14ac:dyDescent="0.25">
      <c r="A128" s="8">
        <v>26201</v>
      </c>
      <c r="B128" s="9" t="s">
        <v>768</v>
      </c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</row>
    <row r="129" spans="1:19" x14ac:dyDescent="0.25">
      <c r="A129" s="8">
        <v>26202</v>
      </c>
      <c r="B129" s="9" t="s">
        <v>769</v>
      </c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</row>
    <row r="130" spans="1:19" x14ac:dyDescent="0.25">
      <c r="A130" s="8">
        <v>26203</v>
      </c>
      <c r="B130" s="9" t="s">
        <v>770</v>
      </c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</row>
    <row r="131" spans="1:19" x14ac:dyDescent="0.25">
      <c r="A131" s="8">
        <v>26204</v>
      </c>
      <c r="B131" s="9" t="s">
        <v>771</v>
      </c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</row>
    <row r="132" spans="1:19" x14ac:dyDescent="0.25">
      <c r="A132" s="8">
        <v>26205</v>
      </c>
      <c r="B132" s="9" t="s">
        <v>772</v>
      </c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</row>
    <row r="133" spans="1:19" x14ac:dyDescent="0.25">
      <c r="A133" s="8">
        <v>26206</v>
      </c>
      <c r="B133" s="9" t="s">
        <v>773</v>
      </c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</row>
    <row r="134" spans="1:19" x14ac:dyDescent="0.25">
      <c r="A134" s="8">
        <v>26209</v>
      </c>
      <c r="B134" s="9" t="s">
        <v>774</v>
      </c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</row>
    <row r="135" spans="1:19" x14ac:dyDescent="0.25">
      <c r="A135" s="8">
        <v>26218</v>
      </c>
      <c r="B135" s="9" t="s">
        <v>775</v>
      </c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</row>
    <row r="136" spans="1:19" x14ac:dyDescent="0.25">
      <c r="A136" s="8">
        <v>26219</v>
      </c>
      <c r="B136" s="9" t="s">
        <v>776</v>
      </c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</row>
    <row r="137" spans="1:19" x14ac:dyDescent="0.25">
      <c r="A137" s="8">
        <v>26220</v>
      </c>
      <c r="B137" s="9" t="s">
        <v>777</v>
      </c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</row>
    <row r="138" spans="1:19" x14ac:dyDescent="0.25">
      <c r="A138" s="8">
        <v>26227</v>
      </c>
      <c r="B138" s="9" t="s">
        <v>778</v>
      </c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</row>
    <row r="139" spans="1:19" x14ac:dyDescent="0.25">
      <c r="A139" s="8">
        <v>26309</v>
      </c>
      <c r="B139" s="9" t="s">
        <v>779</v>
      </c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</row>
    <row r="140" spans="1:19" x14ac:dyDescent="0.25">
      <c r="A140" s="8">
        <v>26313</v>
      </c>
      <c r="B140" s="9" t="s">
        <v>780</v>
      </c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</row>
    <row r="141" spans="1:19" x14ac:dyDescent="0.25">
      <c r="A141" s="8">
        <v>26321</v>
      </c>
      <c r="B141" s="9" t="s">
        <v>781</v>
      </c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</row>
    <row r="142" spans="1:19" x14ac:dyDescent="0.25">
      <c r="A142" s="8">
        <v>26322</v>
      </c>
      <c r="B142" s="9" t="s">
        <v>782</v>
      </c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</row>
    <row r="143" spans="1:19" x14ac:dyDescent="0.25">
      <c r="A143" s="8">
        <v>26402</v>
      </c>
      <c r="B143" s="9" t="s">
        <v>783</v>
      </c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</row>
    <row r="144" spans="1:19" x14ac:dyDescent="0.25">
      <c r="A144" s="8">
        <v>30202</v>
      </c>
      <c r="B144" s="9" t="s">
        <v>786</v>
      </c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</row>
    <row r="145" spans="1:19" x14ac:dyDescent="0.25">
      <c r="A145" s="8">
        <v>30751</v>
      </c>
      <c r="B145" s="9" t="s">
        <v>787</v>
      </c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</row>
    <row r="146" spans="1:19" x14ac:dyDescent="0.25">
      <c r="A146" s="8">
        <v>30752</v>
      </c>
      <c r="B146" s="9" t="s">
        <v>788</v>
      </c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</row>
    <row r="147" spans="1:19" x14ac:dyDescent="0.25">
      <c r="A147" s="8">
        <v>30902</v>
      </c>
      <c r="B147" s="9" t="s">
        <v>790</v>
      </c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</row>
    <row r="148" spans="1:19" x14ac:dyDescent="0.25">
      <c r="A148" s="8">
        <v>31103</v>
      </c>
      <c r="B148" s="9" t="s">
        <v>1250</v>
      </c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</row>
    <row r="149" spans="1:19" x14ac:dyDescent="0.25">
      <c r="A149" s="8">
        <v>31114</v>
      </c>
      <c r="B149" s="9" t="s">
        <v>791</v>
      </c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</row>
    <row r="150" spans="1:19" x14ac:dyDescent="0.25">
      <c r="A150" s="8">
        <v>31122</v>
      </c>
      <c r="B150" s="9" t="s">
        <v>792</v>
      </c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</row>
    <row r="151" spans="1:19" x14ac:dyDescent="0.25">
      <c r="A151" s="8">
        <v>31129</v>
      </c>
      <c r="B151" s="9" t="s">
        <v>795</v>
      </c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</row>
    <row r="152" spans="1:19" x14ac:dyDescent="0.25">
      <c r="A152" s="8">
        <v>31130</v>
      </c>
      <c r="B152" s="9" t="s">
        <v>796</v>
      </c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</row>
    <row r="153" spans="1:19" x14ac:dyDescent="0.25">
      <c r="A153" s="8">
        <v>31132</v>
      </c>
      <c r="B153" s="9" t="s">
        <v>797</v>
      </c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</row>
    <row r="154" spans="1:19" x14ac:dyDescent="0.25">
      <c r="A154" s="8">
        <v>31133</v>
      </c>
      <c r="B154" s="9" t="s">
        <v>798</v>
      </c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</row>
    <row r="155" spans="1:19" x14ac:dyDescent="0.25">
      <c r="A155" s="8">
        <v>31135</v>
      </c>
      <c r="B155" s="9" t="s">
        <v>799</v>
      </c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</row>
    <row r="156" spans="1:19" x14ac:dyDescent="0.25">
      <c r="A156" s="8">
        <v>31150</v>
      </c>
      <c r="B156" s="9" t="s">
        <v>800</v>
      </c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</row>
    <row r="157" spans="1:19" x14ac:dyDescent="0.25">
      <c r="A157" s="8">
        <v>31161</v>
      </c>
      <c r="B157" s="9" t="s">
        <v>801</v>
      </c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</row>
    <row r="158" spans="1:19" x14ac:dyDescent="0.25">
      <c r="A158" s="8">
        <v>31162</v>
      </c>
      <c r="B158" s="9" t="s">
        <v>802</v>
      </c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 spans="1:19" x14ac:dyDescent="0.25">
      <c r="A159" s="8">
        <v>31165</v>
      </c>
      <c r="B159" s="9" t="s">
        <v>803</v>
      </c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</row>
    <row r="160" spans="1:19" x14ac:dyDescent="0.25">
      <c r="A160" s="8">
        <v>31166</v>
      </c>
      <c r="B160" s="9" t="s">
        <v>804</v>
      </c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</row>
    <row r="161" spans="1:19" x14ac:dyDescent="0.25">
      <c r="A161" s="8">
        <v>31167</v>
      </c>
      <c r="B161" s="9" t="s">
        <v>805</v>
      </c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</row>
    <row r="162" spans="1:19" x14ac:dyDescent="0.25">
      <c r="A162" s="8">
        <v>31170</v>
      </c>
      <c r="B162" s="9" t="s">
        <v>806</v>
      </c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spans="1:19" x14ac:dyDescent="0.25">
      <c r="A163" s="8">
        <v>31171</v>
      </c>
      <c r="B163" s="9" t="s">
        <v>807</v>
      </c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spans="1:19" x14ac:dyDescent="0.25">
      <c r="A164" s="8">
        <v>31172</v>
      </c>
      <c r="B164" s="9" t="s">
        <v>808</v>
      </c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</row>
    <row r="165" spans="1:19" x14ac:dyDescent="0.25">
      <c r="A165" s="8">
        <v>31173</v>
      </c>
      <c r="B165" s="9" t="s">
        <v>809</v>
      </c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</row>
    <row r="166" spans="1:19" x14ac:dyDescent="0.25">
      <c r="A166" s="8">
        <v>31174</v>
      </c>
      <c r="B166" s="9" t="s">
        <v>810</v>
      </c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</row>
    <row r="167" spans="1:19" x14ac:dyDescent="0.25">
      <c r="A167" s="8">
        <v>31175</v>
      </c>
      <c r="B167" s="9" t="s">
        <v>811</v>
      </c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</row>
    <row r="168" spans="1:19" x14ac:dyDescent="0.25">
      <c r="A168" s="8">
        <v>31176</v>
      </c>
      <c r="B168" s="9" t="s">
        <v>812</v>
      </c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</row>
    <row r="169" spans="1:19" x14ac:dyDescent="0.25">
      <c r="A169" s="8">
        <v>31177</v>
      </c>
      <c r="B169" s="9" t="s">
        <v>813</v>
      </c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</row>
    <row r="170" spans="1:19" x14ac:dyDescent="0.25">
      <c r="A170" s="8">
        <v>31178</v>
      </c>
      <c r="B170" s="9" t="s">
        <v>814</v>
      </c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</row>
    <row r="171" spans="1:19" x14ac:dyDescent="0.25">
      <c r="A171" s="8">
        <v>31179</v>
      </c>
      <c r="B171" s="9" t="s">
        <v>815</v>
      </c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</row>
    <row r="172" spans="1:19" x14ac:dyDescent="0.25">
      <c r="A172" s="8">
        <v>31180</v>
      </c>
      <c r="B172" s="9" t="s">
        <v>816</v>
      </c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</row>
    <row r="173" spans="1:19" x14ac:dyDescent="0.25">
      <c r="A173" s="8">
        <v>31199</v>
      </c>
      <c r="B173" s="9" t="s">
        <v>817</v>
      </c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</row>
    <row r="174" spans="1:19" x14ac:dyDescent="0.25">
      <c r="A174" s="8">
        <v>31301</v>
      </c>
      <c r="B174" s="9" t="s">
        <v>818</v>
      </c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</row>
    <row r="175" spans="1:19" x14ac:dyDescent="0.25">
      <c r="A175" s="8">
        <v>31304</v>
      </c>
      <c r="B175" s="9" t="s">
        <v>819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</row>
    <row r="176" spans="1:19" x14ac:dyDescent="0.25">
      <c r="A176" s="8">
        <v>31309</v>
      </c>
      <c r="B176" s="9" t="s">
        <v>820</v>
      </c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</row>
    <row r="177" spans="1:19" x14ac:dyDescent="0.25">
      <c r="A177" s="8">
        <v>31310</v>
      </c>
      <c r="B177" s="9" t="s">
        <v>821</v>
      </c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</row>
    <row r="178" spans="1:19" x14ac:dyDescent="0.25">
      <c r="A178" s="8">
        <v>31313</v>
      </c>
      <c r="B178" s="9" t="s">
        <v>822</v>
      </c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</row>
    <row r="179" spans="1:19" x14ac:dyDescent="0.25">
      <c r="A179" s="8">
        <v>31324</v>
      </c>
      <c r="B179" s="9" t="s">
        <v>1251</v>
      </c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</row>
    <row r="180" spans="1:19" x14ac:dyDescent="0.25">
      <c r="A180" s="8">
        <v>31400</v>
      </c>
      <c r="B180" s="9" t="s">
        <v>823</v>
      </c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</row>
    <row r="181" spans="1:19" x14ac:dyDescent="0.25">
      <c r="A181" s="8">
        <v>31401</v>
      </c>
      <c r="B181" s="9" t="s">
        <v>824</v>
      </c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</row>
    <row r="182" spans="1:19" x14ac:dyDescent="0.25">
      <c r="A182" s="8">
        <v>31412</v>
      </c>
      <c r="B182" s="9" t="s">
        <v>825</v>
      </c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</row>
    <row r="183" spans="1:19" x14ac:dyDescent="0.25">
      <c r="A183" s="8">
        <v>31413</v>
      </c>
      <c r="B183" s="9" t="s">
        <v>826</v>
      </c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</row>
    <row r="184" spans="1:19" x14ac:dyDescent="0.25">
      <c r="A184" s="8">
        <v>31414</v>
      </c>
      <c r="B184" s="9" t="s">
        <v>827</v>
      </c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</row>
    <row r="185" spans="1:19" x14ac:dyDescent="0.25">
      <c r="A185" s="8">
        <v>31601</v>
      </c>
      <c r="B185" s="9" t="s">
        <v>828</v>
      </c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</row>
    <row r="186" spans="1:19" x14ac:dyDescent="0.25">
      <c r="A186" s="8">
        <v>31603</v>
      </c>
      <c r="B186" s="9" t="s">
        <v>829</v>
      </c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</row>
    <row r="187" spans="1:19" x14ac:dyDescent="0.25">
      <c r="A187" s="8">
        <v>31610</v>
      </c>
      <c r="B187" s="9" t="s">
        <v>830</v>
      </c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</row>
    <row r="188" spans="1:19" x14ac:dyDescent="0.25">
      <c r="A188" s="8">
        <v>31612</v>
      </c>
      <c r="B188" s="9" t="s">
        <v>831</v>
      </c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</row>
    <row r="189" spans="1:19" x14ac:dyDescent="0.25">
      <c r="A189" s="8">
        <v>31613</v>
      </c>
      <c r="B189" s="9" t="s">
        <v>832</v>
      </c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</row>
    <row r="190" spans="1:19" x14ac:dyDescent="0.25">
      <c r="A190" s="8">
        <v>31614</v>
      </c>
      <c r="B190" s="9" t="s">
        <v>833</v>
      </c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</row>
    <row r="191" spans="1:19" x14ac:dyDescent="0.25">
      <c r="A191" s="8">
        <v>31702</v>
      </c>
      <c r="B191" s="9" t="s">
        <v>834</v>
      </c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</row>
    <row r="192" spans="1:19" x14ac:dyDescent="0.25">
      <c r="A192" s="8">
        <v>31703</v>
      </c>
      <c r="B192" s="9" t="s">
        <v>835</v>
      </c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</row>
    <row r="193" spans="1:19" x14ac:dyDescent="0.25">
      <c r="A193" s="8">
        <v>31705</v>
      </c>
      <c r="B193" s="9" t="s">
        <v>836</v>
      </c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</row>
    <row r="194" spans="1:19" x14ac:dyDescent="0.25">
      <c r="A194" s="8">
        <v>32122</v>
      </c>
      <c r="B194" s="9" t="s">
        <v>837</v>
      </c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</row>
    <row r="195" spans="1:19" x14ac:dyDescent="0.25">
      <c r="A195" s="8">
        <v>32127</v>
      </c>
      <c r="B195" s="9" t="s">
        <v>838</v>
      </c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</row>
    <row r="196" spans="1:19" x14ac:dyDescent="0.25">
      <c r="A196" s="8">
        <v>32128</v>
      </c>
      <c r="B196" s="9" t="s">
        <v>839</v>
      </c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</row>
    <row r="197" spans="1:19" x14ac:dyDescent="0.25">
      <c r="A197" s="8">
        <v>32130</v>
      </c>
      <c r="B197" s="9" t="s">
        <v>840</v>
      </c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</row>
    <row r="198" spans="1:19" x14ac:dyDescent="0.25">
      <c r="A198" s="8">
        <v>32132</v>
      </c>
      <c r="B198" s="9" t="s">
        <v>841</v>
      </c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</row>
    <row r="199" spans="1:19" x14ac:dyDescent="0.25">
      <c r="A199" s="8">
        <v>32134</v>
      </c>
      <c r="B199" s="9" t="s">
        <v>842</v>
      </c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</row>
    <row r="200" spans="1:19" x14ac:dyDescent="0.25">
      <c r="A200" s="8">
        <v>32138</v>
      </c>
      <c r="B200" s="9" t="s">
        <v>843</v>
      </c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</row>
    <row r="201" spans="1:19" x14ac:dyDescent="0.25">
      <c r="A201" s="8">
        <v>32150</v>
      </c>
      <c r="B201" s="9" t="s">
        <v>800</v>
      </c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</row>
    <row r="202" spans="1:19" x14ac:dyDescent="0.25">
      <c r="A202" s="8">
        <v>32152</v>
      </c>
      <c r="B202" s="9" t="s">
        <v>844</v>
      </c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</row>
    <row r="203" spans="1:19" x14ac:dyDescent="0.25">
      <c r="A203" s="8">
        <v>32153</v>
      </c>
      <c r="B203" s="9" t="s">
        <v>845</v>
      </c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</row>
    <row r="204" spans="1:19" x14ac:dyDescent="0.25">
      <c r="A204" s="8">
        <v>32154</v>
      </c>
      <c r="B204" s="9" t="s">
        <v>846</v>
      </c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</row>
    <row r="205" spans="1:19" x14ac:dyDescent="0.25">
      <c r="A205" s="8">
        <v>32155</v>
      </c>
      <c r="B205" s="9" t="s">
        <v>847</v>
      </c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</row>
    <row r="206" spans="1:19" x14ac:dyDescent="0.25">
      <c r="A206" s="8">
        <v>32156</v>
      </c>
      <c r="B206" s="9" t="s">
        <v>848</v>
      </c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</row>
    <row r="207" spans="1:19" x14ac:dyDescent="0.25">
      <c r="A207" s="8">
        <v>32157</v>
      </c>
      <c r="B207" s="9" t="s">
        <v>849</v>
      </c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</row>
    <row r="208" spans="1:19" x14ac:dyDescent="0.25">
      <c r="A208" s="8">
        <v>32159</v>
      </c>
      <c r="B208" s="9" t="s">
        <v>850</v>
      </c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</row>
    <row r="209" spans="1:19" x14ac:dyDescent="0.25">
      <c r="A209" s="8">
        <v>32161</v>
      </c>
      <c r="B209" s="9" t="s">
        <v>851</v>
      </c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</row>
    <row r="210" spans="1:19" x14ac:dyDescent="0.25">
      <c r="A210" s="8">
        <v>32163</v>
      </c>
      <c r="B210" s="9" t="s">
        <v>852</v>
      </c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</row>
    <row r="211" spans="1:19" x14ac:dyDescent="0.25">
      <c r="A211" s="8">
        <v>32165</v>
      </c>
      <c r="B211" s="9" t="s">
        <v>853</v>
      </c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</row>
    <row r="212" spans="1:19" x14ac:dyDescent="0.25">
      <c r="A212" s="8">
        <v>32166</v>
      </c>
      <c r="B212" s="9" t="s">
        <v>854</v>
      </c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</row>
    <row r="213" spans="1:19" x14ac:dyDescent="0.25">
      <c r="A213" s="8">
        <v>32167</v>
      </c>
      <c r="B213" s="9" t="s">
        <v>855</v>
      </c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</row>
    <row r="214" spans="1:19" x14ac:dyDescent="0.25">
      <c r="A214" s="8">
        <v>32168</v>
      </c>
      <c r="B214" s="9" t="s">
        <v>856</v>
      </c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</row>
    <row r="215" spans="1:19" x14ac:dyDescent="0.25">
      <c r="A215" s="8">
        <v>32169</v>
      </c>
      <c r="B215" s="9" t="s">
        <v>857</v>
      </c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</row>
    <row r="216" spans="1:19" x14ac:dyDescent="0.25">
      <c r="A216" s="8">
        <v>32299</v>
      </c>
      <c r="B216" s="9" t="s">
        <v>858</v>
      </c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</row>
    <row r="217" spans="1:19" x14ac:dyDescent="0.25">
      <c r="A217" s="8">
        <v>32304</v>
      </c>
      <c r="B217" s="9" t="s">
        <v>859</v>
      </c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</row>
    <row r="218" spans="1:19" x14ac:dyDescent="0.25">
      <c r="A218" s="8">
        <v>32307</v>
      </c>
      <c r="B218" s="9" t="s">
        <v>819</v>
      </c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</row>
    <row r="219" spans="1:19" x14ac:dyDescent="0.25">
      <c r="A219" s="8">
        <v>32318</v>
      </c>
      <c r="B219" s="9" t="s">
        <v>822</v>
      </c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</row>
    <row r="220" spans="1:19" x14ac:dyDescent="0.25">
      <c r="A220" s="8">
        <v>32320</v>
      </c>
      <c r="B220" s="9" t="s">
        <v>860</v>
      </c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</row>
    <row r="221" spans="1:19" x14ac:dyDescent="0.25">
      <c r="A221" s="8">
        <v>32405</v>
      </c>
      <c r="B221" s="9" t="s">
        <v>861</v>
      </c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spans="1:19" x14ac:dyDescent="0.25">
      <c r="A222" s="8">
        <v>32409</v>
      </c>
      <c r="B222" s="9" t="s">
        <v>862</v>
      </c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spans="1:19" x14ac:dyDescent="0.25">
      <c r="A223" s="8">
        <v>32410</v>
      </c>
      <c r="B223" s="9" t="s">
        <v>863</v>
      </c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spans="1:19" x14ac:dyDescent="0.25">
      <c r="A224" s="8">
        <v>32411</v>
      </c>
      <c r="B224" s="9" t="s">
        <v>864</v>
      </c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spans="1:19" x14ac:dyDescent="0.25">
      <c r="A225" s="8">
        <v>32418</v>
      </c>
      <c r="B225" s="9" t="s">
        <v>865</v>
      </c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spans="1:19" x14ac:dyDescent="0.25">
      <c r="A226" s="8">
        <v>32419</v>
      </c>
      <c r="B226" s="9" t="s">
        <v>866</v>
      </c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spans="1:19" x14ac:dyDescent="0.25">
      <c r="A227" s="8">
        <v>32421</v>
      </c>
      <c r="B227" s="9" t="s">
        <v>867</v>
      </c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spans="1:19" x14ac:dyDescent="0.25">
      <c r="A228" s="8">
        <v>32425</v>
      </c>
      <c r="B228" s="9" t="s">
        <v>868</v>
      </c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</row>
    <row r="229" spans="1:19" x14ac:dyDescent="0.25">
      <c r="A229" s="8">
        <v>32426</v>
      </c>
      <c r="B229" s="9" t="s">
        <v>869</v>
      </c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</row>
    <row r="230" spans="1:19" x14ac:dyDescent="0.25">
      <c r="A230" s="8">
        <v>32430</v>
      </c>
      <c r="B230" s="9" t="s">
        <v>870</v>
      </c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</row>
    <row r="231" spans="1:19" x14ac:dyDescent="0.25">
      <c r="A231" s="8">
        <v>32431</v>
      </c>
      <c r="B231" s="9" t="s">
        <v>871</v>
      </c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</row>
    <row r="232" spans="1:19" x14ac:dyDescent="0.25">
      <c r="A232" s="8">
        <v>32602</v>
      </c>
      <c r="B232" s="9" t="s">
        <v>792</v>
      </c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</row>
    <row r="233" spans="1:19" x14ac:dyDescent="0.25">
      <c r="A233" s="8">
        <v>32702</v>
      </c>
      <c r="B233" s="9" t="s">
        <v>834</v>
      </c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</row>
    <row r="234" spans="1:19" x14ac:dyDescent="0.25">
      <c r="A234" s="8">
        <v>32703</v>
      </c>
      <c r="B234" s="9" t="s">
        <v>835</v>
      </c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</row>
    <row r="235" spans="1:19" x14ac:dyDescent="0.25">
      <c r="A235" s="8">
        <v>32705</v>
      </c>
      <c r="B235" s="9" t="s">
        <v>872</v>
      </c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</row>
    <row r="236" spans="1:19" x14ac:dyDescent="0.25">
      <c r="A236" s="8">
        <v>32804</v>
      </c>
      <c r="B236" s="9" t="s">
        <v>873</v>
      </c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</row>
    <row r="237" spans="1:19" x14ac:dyDescent="0.25">
      <c r="A237" s="8">
        <v>32805</v>
      </c>
      <c r="B237" s="9" t="s">
        <v>874</v>
      </c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</row>
    <row r="238" spans="1:19" x14ac:dyDescent="0.25">
      <c r="A238" s="8">
        <v>32807</v>
      </c>
      <c r="B238" s="9" t="s">
        <v>875</v>
      </c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</row>
    <row r="239" spans="1:19" x14ac:dyDescent="0.25">
      <c r="A239" s="8">
        <v>33301</v>
      </c>
      <c r="B239" s="9" t="s">
        <v>876</v>
      </c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</row>
    <row r="240" spans="1:19" x14ac:dyDescent="0.25">
      <c r="A240" s="8">
        <v>33403</v>
      </c>
      <c r="B240" s="9" t="s">
        <v>877</v>
      </c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</row>
    <row r="241" spans="1:19" x14ac:dyDescent="0.25">
      <c r="A241" s="8">
        <v>33413</v>
      </c>
      <c r="B241" s="9" t="s">
        <v>878</v>
      </c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</row>
    <row r="242" spans="1:19" x14ac:dyDescent="0.25">
      <c r="A242" s="8">
        <v>33414</v>
      </c>
      <c r="B242" s="9" t="s">
        <v>879</v>
      </c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</row>
    <row r="243" spans="1:19" x14ac:dyDescent="0.25">
      <c r="A243" s="8">
        <v>33415</v>
      </c>
      <c r="B243" s="9" t="s">
        <v>880</v>
      </c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</row>
    <row r="244" spans="1:19" x14ac:dyDescent="0.25">
      <c r="A244" s="8">
        <v>33416</v>
      </c>
      <c r="B244" s="9" t="s">
        <v>881</v>
      </c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</row>
    <row r="245" spans="1:19" x14ac:dyDescent="0.25">
      <c r="A245" s="8">
        <v>33417</v>
      </c>
      <c r="B245" s="9" t="s">
        <v>882</v>
      </c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</row>
    <row r="246" spans="1:19" x14ac:dyDescent="0.25">
      <c r="A246" s="8">
        <v>33507</v>
      </c>
      <c r="B246" s="9" t="s">
        <v>883</v>
      </c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</row>
    <row r="247" spans="1:19" x14ac:dyDescent="0.25">
      <c r="A247" s="8">
        <v>33513</v>
      </c>
      <c r="B247" s="9" t="s">
        <v>884</v>
      </c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</row>
    <row r="248" spans="1:19" x14ac:dyDescent="0.25">
      <c r="A248" s="8">
        <v>33514</v>
      </c>
      <c r="B248" s="9" t="s">
        <v>885</v>
      </c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</row>
    <row r="249" spans="1:19" x14ac:dyDescent="0.25">
      <c r="A249" s="8">
        <v>33518</v>
      </c>
      <c r="B249" s="9" t="s">
        <v>886</v>
      </c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</row>
    <row r="250" spans="1:19" x14ac:dyDescent="0.25">
      <c r="A250" s="8">
        <v>33519</v>
      </c>
      <c r="B250" s="9" t="s">
        <v>887</v>
      </c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</row>
    <row r="251" spans="1:19" x14ac:dyDescent="0.25">
      <c r="A251" s="8">
        <v>33902</v>
      </c>
      <c r="B251" s="9" t="s">
        <v>888</v>
      </c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</row>
    <row r="252" spans="1:19" x14ac:dyDescent="0.25">
      <c r="A252" s="8">
        <v>34301</v>
      </c>
      <c r="B252" s="9" t="s">
        <v>389</v>
      </c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</row>
    <row r="253" spans="1:19" x14ac:dyDescent="0.25">
      <c r="A253" s="8">
        <v>34402</v>
      </c>
      <c r="B253" s="9" t="s">
        <v>889</v>
      </c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</row>
    <row r="254" spans="1:19" x14ac:dyDescent="0.25">
      <c r="A254" s="8">
        <v>34403</v>
      </c>
      <c r="B254" s="9" t="s">
        <v>890</v>
      </c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</row>
    <row r="255" spans="1:19" x14ac:dyDescent="0.25">
      <c r="A255" s="8">
        <v>34404</v>
      </c>
      <c r="B255" s="9" t="s">
        <v>891</v>
      </c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</row>
    <row r="256" spans="1:19" x14ac:dyDescent="0.25">
      <c r="A256" s="8">
        <v>34702</v>
      </c>
      <c r="B256" s="9" t="s">
        <v>892</v>
      </c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</row>
    <row r="257" spans="1:19" x14ac:dyDescent="0.25">
      <c r="A257" s="8">
        <v>34704</v>
      </c>
      <c r="B257" s="9" t="s">
        <v>893</v>
      </c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</row>
    <row r="258" spans="1:19" x14ac:dyDescent="0.25">
      <c r="A258" s="8">
        <v>34705</v>
      </c>
      <c r="B258" s="9" t="s">
        <v>894</v>
      </c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</row>
    <row r="259" spans="1:19" x14ac:dyDescent="0.25">
      <c r="A259" s="8">
        <v>34710</v>
      </c>
      <c r="B259" s="9" t="s">
        <v>895</v>
      </c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spans="1:19" x14ac:dyDescent="0.25">
      <c r="A260" s="8">
        <v>34712</v>
      </c>
      <c r="B260" s="9" t="s">
        <v>1252</v>
      </c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spans="1:19" x14ac:dyDescent="0.25">
      <c r="A261" s="8">
        <v>34904</v>
      </c>
      <c r="B261" s="9" t="s">
        <v>896</v>
      </c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spans="1:19" x14ac:dyDescent="0.25">
      <c r="A262" s="8">
        <v>35303</v>
      </c>
      <c r="B262" s="9" t="s">
        <v>897</v>
      </c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spans="1:19" x14ac:dyDescent="0.25">
      <c r="A263" s="8">
        <v>35803</v>
      </c>
      <c r="B263" s="9" t="s">
        <v>898</v>
      </c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spans="1:19" x14ac:dyDescent="0.25">
      <c r="A264" s="8">
        <v>35804</v>
      </c>
      <c r="B264" s="9" t="s">
        <v>899</v>
      </c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spans="1:19" x14ac:dyDescent="0.25">
      <c r="A265" s="8">
        <v>39301</v>
      </c>
      <c r="B265" s="9" t="s">
        <v>900</v>
      </c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spans="1:19" x14ac:dyDescent="0.25">
      <c r="A266" s="8">
        <v>39303</v>
      </c>
      <c r="B266" s="9" t="s">
        <v>901</v>
      </c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spans="1:19" x14ac:dyDescent="0.25">
      <c r="A267" s="8">
        <v>39307</v>
      </c>
      <c r="B267" s="9" t="s">
        <v>902</v>
      </c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spans="1:19" x14ac:dyDescent="0.25">
      <c r="A268" s="8">
        <v>39313</v>
      </c>
      <c r="B268" s="9" t="s">
        <v>903</v>
      </c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spans="1:19" x14ac:dyDescent="0.25">
      <c r="A269" s="8">
        <v>39314</v>
      </c>
      <c r="B269" s="9" t="s">
        <v>904</v>
      </c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spans="1:19" x14ac:dyDescent="0.25">
      <c r="A270" s="8">
        <v>39399</v>
      </c>
      <c r="B270" s="9" t="s">
        <v>905</v>
      </c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1:19" x14ac:dyDescent="0.25">
      <c r="A271" s="8">
        <v>39625</v>
      </c>
      <c r="B271" s="9" t="s">
        <v>906</v>
      </c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1:19" x14ac:dyDescent="0.25">
      <c r="A272" s="8">
        <v>39629</v>
      </c>
      <c r="B272" s="9" t="s">
        <v>907</v>
      </c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1:19" x14ac:dyDescent="0.25">
      <c r="A273" s="8">
        <v>39630</v>
      </c>
      <c r="B273" s="9" t="s">
        <v>908</v>
      </c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1:19" x14ac:dyDescent="0.25">
      <c r="A274" s="8">
        <v>39631</v>
      </c>
      <c r="B274" s="9" t="s">
        <v>909</v>
      </c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1:19" x14ac:dyDescent="0.25">
      <c r="A275" s="8">
        <v>39632</v>
      </c>
      <c r="B275" s="9" t="s">
        <v>910</v>
      </c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1:19" x14ac:dyDescent="0.25">
      <c r="A276" s="8">
        <v>39699</v>
      </c>
      <c r="B276" s="9" t="s">
        <v>784</v>
      </c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1:19" x14ac:dyDescent="0.25">
      <c r="A277" s="8">
        <v>39706</v>
      </c>
      <c r="B277" s="9" t="s">
        <v>911</v>
      </c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1:19" x14ac:dyDescent="0.25">
      <c r="A278" s="8">
        <v>39707</v>
      </c>
      <c r="B278" s="9" t="s">
        <v>912</v>
      </c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1:19" x14ac:dyDescent="0.25">
      <c r="A279" s="8">
        <v>39708</v>
      </c>
      <c r="B279" s="9" t="s">
        <v>913</v>
      </c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1:19" x14ac:dyDescent="0.25">
      <c r="A280" s="8">
        <v>39709</v>
      </c>
      <c r="B280" s="9" t="s">
        <v>914</v>
      </c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spans="1:19" x14ac:dyDescent="0.25">
      <c r="A281" s="8">
        <v>39710</v>
      </c>
      <c r="B281" s="9" t="s">
        <v>915</v>
      </c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spans="1:19" x14ac:dyDescent="0.25">
      <c r="A282" s="8">
        <v>39711</v>
      </c>
      <c r="B282" s="9" t="s">
        <v>1253</v>
      </c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spans="1:19" x14ac:dyDescent="0.25">
      <c r="A283" s="8">
        <v>39712</v>
      </c>
      <c r="B283" s="9" t="s">
        <v>916</v>
      </c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spans="1:19" x14ac:dyDescent="0.25">
      <c r="A284" s="8">
        <v>39713</v>
      </c>
      <c r="B284" s="9" t="s">
        <v>917</v>
      </c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spans="1:19" x14ac:dyDescent="0.25">
      <c r="A285" s="8">
        <v>39714</v>
      </c>
      <c r="B285" s="9" t="s">
        <v>918</v>
      </c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spans="1:19" x14ac:dyDescent="0.25">
      <c r="A286" s="8">
        <v>39715</v>
      </c>
      <c r="B286" s="9" t="s">
        <v>919</v>
      </c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</row>
    <row r="287" spans="1:19" x14ac:dyDescent="0.25">
      <c r="A287" s="8">
        <v>39905</v>
      </c>
      <c r="B287" s="9" t="s">
        <v>793</v>
      </c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spans="1:19" x14ac:dyDescent="0.25">
      <c r="A288" s="8">
        <v>39993</v>
      </c>
      <c r="B288" s="9" t="s">
        <v>920</v>
      </c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spans="1:19" x14ac:dyDescent="0.25">
      <c r="A289" s="8">
        <v>39994</v>
      </c>
      <c r="B289" s="9" t="s">
        <v>921</v>
      </c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spans="1:19" x14ac:dyDescent="0.25">
      <c r="A290" s="8">
        <v>39997</v>
      </c>
      <c r="B290" s="9" t="s">
        <v>922</v>
      </c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spans="1:19" x14ac:dyDescent="0.25">
      <c r="A291" s="8">
        <v>39999</v>
      </c>
      <c r="B291" s="9" t="s">
        <v>794</v>
      </c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spans="1:19" x14ac:dyDescent="0.25">
      <c r="A292" s="8">
        <v>41002</v>
      </c>
      <c r="B292" s="9" t="s">
        <v>923</v>
      </c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spans="1:19" x14ac:dyDescent="0.25">
      <c r="A293" s="8">
        <v>62501</v>
      </c>
      <c r="B293" s="9" t="s">
        <v>716</v>
      </c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spans="1:19" x14ac:dyDescent="0.25">
      <c r="A294" s="8">
        <v>62514</v>
      </c>
      <c r="B294" s="9" t="s">
        <v>925</v>
      </c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</row>
    <row r="295" spans="1:19" x14ac:dyDescent="0.25">
      <c r="A295" s="8">
        <v>62535</v>
      </c>
      <c r="B295" s="9" t="s">
        <v>926</v>
      </c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</row>
    <row r="296" spans="1:19" x14ac:dyDescent="0.25">
      <c r="A296" s="8">
        <v>62564</v>
      </c>
      <c r="B296" s="9" t="s">
        <v>927</v>
      </c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</row>
    <row r="297" spans="1:19" x14ac:dyDescent="0.25">
      <c r="A297" s="8">
        <v>62565</v>
      </c>
      <c r="B297" s="9" t="s">
        <v>928</v>
      </c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</row>
    <row r="298" spans="1:19" x14ac:dyDescent="0.25">
      <c r="A298" s="8">
        <v>62579</v>
      </c>
      <c r="B298" s="9" t="s">
        <v>929</v>
      </c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</row>
    <row r="299" spans="1:19" x14ac:dyDescent="0.25">
      <c r="A299" s="8">
        <v>62580</v>
      </c>
      <c r="B299" s="9" t="s">
        <v>930</v>
      </c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</row>
    <row r="300" spans="1:19" x14ac:dyDescent="0.25">
      <c r="A300" s="8">
        <v>62581</v>
      </c>
      <c r="B300" s="9" t="s">
        <v>931</v>
      </c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</row>
    <row r="301" spans="1:19" x14ac:dyDescent="0.25">
      <c r="A301" s="8">
        <v>62582</v>
      </c>
      <c r="B301" s="9" t="s">
        <v>932</v>
      </c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</row>
    <row r="302" spans="1:19" x14ac:dyDescent="0.25">
      <c r="A302" s="8">
        <v>62599</v>
      </c>
      <c r="B302" s="9" t="s">
        <v>933</v>
      </c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</row>
    <row r="303" spans="1:19" x14ac:dyDescent="0.25">
      <c r="A303" s="8">
        <v>65101</v>
      </c>
      <c r="B303" s="9" t="s">
        <v>934</v>
      </c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</row>
    <row r="304" spans="1:19" x14ac:dyDescent="0.25">
      <c r="A304" s="8">
        <v>65102</v>
      </c>
      <c r="B304" s="9" t="s">
        <v>935</v>
      </c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</row>
    <row r="305" spans="1:19" x14ac:dyDescent="0.25">
      <c r="A305" s="8">
        <v>65103</v>
      </c>
      <c r="B305" s="9" t="s">
        <v>936</v>
      </c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</row>
    <row r="306" spans="1:19" x14ac:dyDescent="0.25">
      <c r="A306" s="8">
        <v>65104</v>
      </c>
      <c r="B306" s="9" t="s">
        <v>937</v>
      </c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</row>
    <row r="307" spans="1:19" x14ac:dyDescent="0.25">
      <c r="A307" s="8">
        <v>66000</v>
      </c>
      <c r="B307" s="9" t="s">
        <v>938</v>
      </c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</row>
    <row r="308" spans="1:19" x14ac:dyDescent="0.25">
      <c r="A308" s="8">
        <v>67000</v>
      </c>
      <c r="B308" s="9" t="s">
        <v>939</v>
      </c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</row>
    <row r="309" spans="1:19" x14ac:dyDescent="0.25">
      <c r="A309" s="8">
        <v>96001</v>
      </c>
      <c r="B309" s="9" t="s">
        <v>940</v>
      </c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</row>
    <row r="310" spans="1:19" x14ac:dyDescent="0.25">
      <c r="A310" s="8">
        <v>96011</v>
      </c>
      <c r="B310" s="9" t="s">
        <v>941</v>
      </c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</row>
    <row r="311" spans="1:19" x14ac:dyDescent="0.25">
      <c r="A311" s="8">
        <v>96014</v>
      </c>
      <c r="B311" s="9" t="s">
        <v>942</v>
      </c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</row>
    <row r="312" spans="1:19" x14ac:dyDescent="0.25">
      <c r="A312" s="8">
        <v>96022</v>
      </c>
      <c r="B312" s="9" t="s">
        <v>943</v>
      </c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</row>
    <row r="313" spans="1:19" x14ac:dyDescent="0.25">
      <c r="A313" s="1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</row>
    <row r="314" spans="1:19" x14ac:dyDescent="0.25">
      <c r="A314" s="1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</row>
    <row r="315" spans="1:19" x14ac:dyDescent="0.25">
      <c r="A315" s="1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</row>
    <row r="316" spans="1:19" x14ac:dyDescent="0.25">
      <c r="A316" s="1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 spans="1:19" x14ac:dyDescent="0.25">
      <c r="A317" s="1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</row>
    <row r="318" spans="1:19" x14ac:dyDescent="0.25">
      <c r="A318" s="1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</row>
    <row r="319" spans="1:19" x14ac:dyDescent="0.25">
      <c r="A319" s="1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</row>
    <row r="320" spans="1:19" x14ac:dyDescent="0.25">
      <c r="A320" s="1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</row>
    <row r="321" spans="1:19" x14ac:dyDescent="0.25">
      <c r="A321" s="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</row>
    <row r="322" spans="1:19" x14ac:dyDescent="0.25">
      <c r="A322" s="1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</row>
    <row r="323" spans="1:19" x14ac:dyDescent="0.25">
      <c r="A323" s="1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</row>
    <row r="324" spans="1:19" x14ac:dyDescent="0.25">
      <c r="A324" s="1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</row>
    <row r="325" spans="1:19" x14ac:dyDescent="0.25">
      <c r="A325" s="1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</row>
    <row r="326" spans="1:19" x14ac:dyDescent="0.25">
      <c r="A326" s="1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 spans="1:19" x14ac:dyDescent="0.25">
      <c r="A327" s="1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</row>
    <row r="328" spans="1:19" x14ac:dyDescent="0.25">
      <c r="A328" s="1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</row>
    <row r="329" spans="1:19" x14ac:dyDescent="0.25">
      <c r="A329" s="1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</row>
    <row r="330" spans="1:19" x14ac:dyDescent="0.25">
      <c r="A330" s="1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</row>
    <row r="331" spans="1:19" x14ac:dyDescent="0.25">
      <c r="A331" s="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</row>
    <row r="332" spans="1:19" x14ac:dyDescent="0.25">
      <c r="A332" s="1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</row>
    <row r="333" spans="1:19" x14ac:dyDescent="0.25">
      <c r="A333" s="1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</row>
    <row r="334" spans="1:19" x14ac:dyDescent="0.25">
      <c r="A334" s="1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</row>
    <row r="335" spans="1:19" x14ac:dyDescent="0.25">
      <c r="A335" s="1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 spans="1:19" x14ac:dyDescent="0.25">
      <c r="A336" s="1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 spans="1:19" x14ac:dyDescent="0.25">
      <c r="A337" s="1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spans="1:19" x14ac:dyDescent="0.25">
      <c r="A338" s="1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spans="1:19" x14ac:dyDescent="0.25">
      <c r="A339" s="1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spans="1:19" x14ac:dyDescent="0.25">
      <c r="A340" s="1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spans="1:19" x14ac:dyDescent="0.25">
      <c r="A341" s="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spans="1:19" x14ac:dyDescent="0.25">
      <c r="A342" s="1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</row>
    <row r="343" spans="1:19" x14ac:dyDescent="0.25">
      <c r="A343" s="1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</row>
    <row r="344" spans="1:19" x14ac:dyDescent="0.25">
      <c r="A344" s="1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</row>
    <row r="345" spans="1:19" x14ac:dyDescent="0.25">
      <c r="A345" s="1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</row>
    <row r="346" spans="1:19" x14ac:dyDescent="0.25">
      <c r="A346" s="1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</row>
    <row r="347" spans="1:19" x14ac:dyDescent="0.25">
      <c r="A347" s="1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</row>
    <row r="348" spans="1:19" x14ac:dyDescent="0.25">
      <c r="A348" s="1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spans="1:19" x14ac:dyDescent="0.25">
      <c r="A349" s="1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1:19" x14ac:dyDescent="0.25">
      <c r="A350" s="1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1:19" x14ac:dyDescent="0.25">
      <c r="A351" s="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1:19" x14ac:dyDescent="0.25">
      <c r="A352" s="1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1:19" x14ac:dyDescent="0.25">
      <c r="A353" s="1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1:19" x14ac:dyDescent="0.25">
      <c r="A354" s="1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1:19" x14ac:dyDescent="0.25">
      <c r="A355" s="1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1:19" x14ac:dyDescent="0.25">
      <c r="A356" s="1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1:19" x14ac:dyDescent="0.25">
      <c r="A357" s="1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spans="1:19" x14ac:dyDescent="0.25">
      <c r="A358" s="1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</row>
    <row r="359" spans="1:19" x14ac:dyDescent="0.25">
      <c r="A359" s="1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</row>
    <row r="360" spans="1:19" x14ac:dyDescent="0.25">
      <c r="A360" s="1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</row>
    <row r="361" spans="1:19" x14ac:dyDescent="0.25">
      <c r="A361" s="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</row>
    <row r="362" spans="1:19" x14ac:dyDescent="0.25">
      <c r="A362" s="1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spans="1:19" x14ac:dyDescent="0.25">
      <c r="A363" s="1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</row>
    <row r="364" spans="1:19" x14ac:dyDescent="0.25">
      <c r="A364" s="1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</row>
    <row r="365" spans="1:19" x14ac:dyDescent="0.25">
      <c r="A365" s="1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spans="1:19" x14ac:dyDescent="0.25">
      <c r="A366" s="1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spans="1:19" x14ac:dyDescent="0.25">
      <c r="A367" s="1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spans="1:19" x14ac:dyDescent="0.25">
      <c r="A368" s="1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1:19" x14ac:dyDescent="0.25">
      <c r="A369" s="1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spans="1:19" x14ac:dyDescent="0.25">
      <c r="A370" s="1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spans="1:19" x14ac:dyDescent="0.25">
      <c r="A371" s="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spans="1:19" x14ac:dyDescent="0.25">
      <c r="A372" s="1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spans="1:19" x14ac:dyDescent="0.25">
      <c r="A373" s="1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spans="1:19" x14ac:dyDescent="0.25">
      <c r="A374" s="1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spans="1:19" x14ac:dyDescent="0.25">
      <c r="A375" s="1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</row>
    <row r="376" spans="1:19" x14ac:dyDescent="0.25">
      <c r="A376" s="1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</row>
    <row r="377" spans="1:19" x14ac:dyDescent="0.25">
      <c r="A377" s="1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</row>
    <row r="378" spans="1:19" x14ac:dyDescent="0.25">
      <c r="A378" s="1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</row>
    <row r="379" spans="1:19" x14ac:dyDescent="0.25">
      <c r="A379" s="1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</row>
    <row r="380" spans="1:19" x14ac:dyDescent="0.25">
      <c r="A380" s="1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</row>
    <row r="381" spans="1:19" x14ac:dyDescent="0.25">
      <c r="A381" s="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</row>
    <row r="382" spans="1:19" x14ac:dyDescent="0.25">
      <c r="A382" s="1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</row>
    <row r="383" spans="1:19" x14ac:dyDescent="0.25">
      <c r="A383" s="1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</row>
    <row r="384" spans="1:19" x14ac:dyDescent="0.25">
      <c r="A384" s="1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</row>
    <row r="385" spans="1:19" x14ac:dyDescent="0.25">
      <c r="A385" s="1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</row>
    <row r="386" spans="1:19" x14ac:dyDescent="0.25">
      <c r="A386" s="1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</row>
    <row r="387" spans="1:19" x14ac:dyDescent="0.25">
      <c r="A387" s="1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</row>
    <row r="388" spans="1:19" x14ac:dyDescent="0.25">
      <c r="A388" s="1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</row>
    <row r="389" spans="1:19" x14ac:dyDescent="0.25">
      <c r="A389" s="1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</row>
    <row r="390" spans="1:19" x14ac:dyDescent="0.25">
      <c r="A390" s="1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</row>
    <row r="391" spans="1:19" x14ac:dyDescent="0.25">
      <c r="A391" s="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</row>
    <row r="392" spans="1:19" x14ac:dyDescent="0.25">
      <c r="A392" s="1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</row>
    <row r="393" spans="1:19" x14ac:dyDescent="0.25">
      <c r="A393" s="1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</row>
    <row r="394" spans="1:19" x14ac:dyDescent="0.25">
      <c r="A394" s="1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</row>
    <row r="395" spans="1:19" x14ac:dyDescent="0.25">
      <c r="A395" s="1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</row>
    <row r="396" spans="1:19" x14ac:dyDescent="0.25">
      <c r="A396" s="1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</row>
    <row r="397" spans="1:19" x14ac:dyDescent="0.25">
      <c r="A397" s="1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</row>
    <row r="398" spans="1:19" x14ac:dyDescent="0.25">
      <c r="A398" s="1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</row>
    <row r="399" spans="1:19" x14ac:dyDescent="0.25">
      <c r="A399" s="1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</row>
    <row r="400" spans="1:19" x14ac:dyDescent="0.25">
      <c r="A400" s="1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</row>
    <row r="401" spans="1:19" x14ac:dyDescent="0.25">
      <c r="A401" s="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</row>
    <row r="402" spans="1:19" x14ac:dyDescent="0.25">
      <c r="A402" s="1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</row>
    <row r="403" spans="1:19" x14ac:dyDescent="0.25">
      <c r="A403" s="1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</row>
    <row r="404" spans="1:19" x14ac:dyDescent="0.25">
      <c r="A404" s="1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</row>
    <row r="405" spans="1:19" x14ac:dyDescent="0.25">
      <c r="A405" s="1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</row>
    <row r="406" spans="1:19" x14ac:dyDescent="0.25">
      <c r="A406" s="1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</row>
    <row r="407" spans="1:19" x14ac:dyDescent="0.25">
      <c r="A407" s="1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</row>
    <row r="408" spans="1:19" x14ac:dyDescent="0.25">
      <c r="A408" s="1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</row>
    <row r="409" spans="1:19" x14ac:dyDescent="0.25">
      <c r="A409" s="1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</row>
    <row r="410" spans="1:19" x14ac:dyDescent="0.25">
      <c r="A410" s="1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</row>
    <row r="411" spans="1:19" x14ac:dyDescent="0.25">
      <c r="A411" s="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</row>
    <row r="412" spans="1:19" x14ac:dyDescent="0.25">
      <c r="A412" s="1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</row>
    <row r="413" spans="1:19" x14ac:dyDescent="0.25">
      <c r="A413" s="1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</row>
    <row r="414" spans="1:19" x14ac:dyDescent="0.25">
      <c r="A414" s="1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</row>
    <row r="415" spans="1:19" x14ac:dyDescent="0.25">
      <c r="A415" s="1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</row>
    <row r="416" spans="1:19" x14ac:dyDescent="0.25">
      <c r="A416" s="1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</row>
    <row r="417" spans="1:19" x14ac:dyDescent="0.25">
      <c r="A417" s="1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</row>
    <row r="418" spans="1:19" x14ac:dyDescent="0.25">
      <c r="A418" s="1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</row>
    <row r="419" spans="1:19" x14ac:dyDescent="0.25">
      <c r="A419" s="1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</row>
    <row r="420" spans="1:19" x14ac:dyDescent="0.25">
      <c r="A420" s="1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</row>
    <row r="421" spans="1:19" x14ac:dyDescent="0.25">
      <c r="A421" s="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</row>
    <row r="422" spans="1:19" x14ac:dyDescent="0.25">
      <c r="A422" s="1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</row>
    <row r="423" spans="1:19" x14ac:dyDescent="0.25">
      <c r="A423" s="1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</row>
    <row r="424" spans="1:19" x14ac:dyDescent="0.25">
      <c r="A424" s="1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</row>
    <row r="425" spans="1:19" x14ac:dyDescent="0.25">
      <c r="A425" s="1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</row>
    <row r="426" spans="1:19" x14ac:dyDescent="0.25">
      <c r="A426" s="1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</row>
    <row r="427" spans="1:19" x14ac:dyDescent="0.25">
      <c r="A427" s="1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</row>
    <row r="428" spans="1:19" x14ac:dyDescent="0.25">
      <c r="A428" s="1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</row>
    <row r="429" spans="1:19" x14ac:dyDescent="0.25">
      <c r="A429" s="1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</row>
    <row r="430" spans="1:19" x14ac:dyDescent="0.25">
      <c r="A430" s="1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</row>
    <row r="431" spans="1:19" x14ac:dyDescent="0.25">
      <c r="A431" s="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</row>
    <row r="432" spans="1:19" x14ac:dyDescent="0.25">
      <c r="A432" s="1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</row>
    <row r="433" spans="1:19" x14ac:dyDescent="0.25">
      <c r="A433" s="1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</row>
    <row r="434" spans="1:19" x14ac:dyDescent="0.25">
      <c r="A434" s="1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</row>
    <row r="435" spans="1:19" x14ac:dyDescent="0.25">
      <c r="A435" s="1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</row>
    <row r="436" spans="1:19" x14ac:dyDescent="0.25">
      <c r="A436" s="1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</row>
    <row r="437" spans="1:19" x14ac:dyDescent="0.25">
      <c r="A437" s="1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</row>
    <row r="438" spans="1:19" x14ac:dyDescent="0.25">
      <c r="A438" s="1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</row>
    <row r="439" spans="1:19" x14ac:dyDescent="0.25">
      <c r="A439" s="1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</row>
    <row r="440" spans="1:19" x14ac:dyDescent="0.25">
      <c r="A440" s="1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</row>
    <row r="441" spans="1:19" x14ac:dyDescent="0.25">
      <c r="A441" s="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</row>
    <row r="442" spans="1:19" x14ac:dyDescent="0.25">
      <c r="A442" s="1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</row>
    <row r="443" spans="1:19" x14ac:dyDescent="0.25">
      <c r="A443" s="1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</row>
    <row r="444" spans="1:19" x14ac:dyDescent="0.25">
      <c r="A444" s="1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</row>
    <row r="445" spans="1:19" x14ac:dyDescent="0.25">
      <c r="A445" s="1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</row>
    <row r="446" spans="1:19" x14ac:dyDescent="0.25">
      <c r="A446" s="1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</row>
    <row r="447" spans="1:19" x14ac:dyDescent="0.25">
      <c r="A447" s="1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</row>
    <row r="448" spans="1:19" x14ac:dyDescent="0.25">
      <c r="A448" s="1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</row>
    <row r="449" spans="1:19" x14ac:dyDescent="0.25">
      <c r="A449" s="1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</row>
    <row r="450" spans="1:19" x14ac:dyDescent="0.25">
      <c r="A450" s="1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</row>
    <row r="451" spans="1:19" x14ac:dyDescent="0.25">
      <c r="A451" s="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</row>
    <row r="452" spans="1:19" x14ac:dyDescent="0.25">
      <c r="A452" s="1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</row>
    <row r="453" spans="1:19" x14ac:dyDescent="0.25">
      <c r="A453" s="1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</row>
    <row r="454" spans="1:19" x14ac:dyDescent="0.25">
      <c r="A454" s="1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</row>
    <row r="455" spans="1:19" x14ac:dyDescent="0.25">
      <c r="A455" s="1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</row>
    <row r="456" spans="1:19" x14ac:dyDescent="0.25">
      <c r="A456" s="1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</row>
    <row r="457" spans="1:19" x14ac:dyDescent="0.25">
      <c r="A457" s="1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</row>
    <row r="458" spans="1:19" x14ac:dyDescent="0.25">
      <c r="A458" s="1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</row>
    <row r="459" spans="1:19" x14ac:dyDescent="0.25">
      <c r="A459" s="1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</row>
    <row r="460" spans="1:19" x14ac:dyDescent="0.25">
      <c r="A460" s="1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</row>
    <row r="461" spans="1:19" x14ac:dyDescent="0.25">
      <c r="A461" s="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</row>
    <row r="462" spans="1:19" x14ac:dyDescent="0.25">
      <c r="A462" s="1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</row>
    <row r="463" spans="1:19" x14ac:dyDescent="0.25">
      <c r="A463" s="1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</row>
    <row r="464" spans="1:19" x14ac:dyDescent="0.25">
      <c r="A464" s="1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</row>
    <row r="465" spans="1:19" x14ac:dyDescent="0.25">
      <c r="A465" s="1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</row>
    <row r="466" spans="1:19" x14ac:dyDescent="0.25">
      <c r="A466" s="1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</row>
    <row r="467" spans="1:19" x14ac:dyDescent="0.25">
      <c r="A467" s="1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</row>
    <row r="468" spans="1:19" x14ac:dyDescent="0.25">
      <c r="A468" s="1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</row>
    <row r="469" spans="1:19" x14ac:dyDescent="0.25">
      <c r="A469" s="1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</row>
    <row r="470" spans="1:19" x14ac:dyDescent="0.25">
      <c r="A470" s="1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</row>
    <row r="471" spans="1:19" x14ac:dyDescent="0.25">
      <c r="A471" s="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</row>
    <row r="472" spans="1:19" x14ac:dyDescent="0.25">
      <c r="A472" s="1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</row>
    <row r="473" spans="1:19" x14ac:dyDescent="0.25">
      <c r="A473" s="1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</row>
    <row r="474" spans="1:19" x14ac:dyDescent="0.25">
      <c r="A474" s="1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</row>
    <row r="475" spans="1:19" x14ac:dyDescent="0.25">
      <c r="A475" s="1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</row>
    <row r="476" spans="1:19" x14ac:dyDescent="0.25">
      <c r="A476" s="1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</row>
    <row r="477" spans="1:19" x14ac:dyDescent="0.25">
      <c r="A477" s="1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</row>
    <row r="478" spans="1:19" x14ac:dyDescent="0.25">
      <c r="A478" s="1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</row>
    <row r="479" spans="1:19" x14ac:dyDescent="0.25">
      <c r="A479" s="1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</row>
    <row r="480" spans="1:19" x14ac:dyDescent="0.25">
      <c r="A480" s="1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</row>
    <row r="481" spans="1:19" x14ac:dyDescent="0.25">
      <c r="A481" s="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</row>
    <row r="482" spans="1:19" x14ac:dyDescent="0.25">
      <c r="A482" s="1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</row>
    <row r="483" spans="1:19" x14ac:dyDescent="0.25">
      <c r="A483" s="1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</row>
    <row r="484" spans="1:19" x14ac:dyDescent="0.25">
      <c r="A484" s="1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</row>
    <row r="485" spans="1:19" x14ac:dyDescent="0.25">
      <c r="A485" s="1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</row>
    <row r="486" spans="1:19" x14ac:dyDescent="0.25">
      <c r="A486" s="1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</row>
    <row r="487" spans="1:19" x14ac:dyDescent="0.25">
      <c r="A487" s="1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</row>
    <row r="488" spans="1:19" x14ac:dyDescent="0.25">
      <c r="A488" s="1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</row>
    <row r="489" spans="1:19" x14ac:dyDescent="0.25">
      <c r="A489" s="1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</row>
    <row r="490" spans="1:19" x14ac:dyDescent="0.25">
      <c r="A490" s="1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</row>
    <row r="491" spans="1:19" x14ac:dyDescent="0.25">
      <c r="A491" s="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</row>
    <row r="492" spans="1:19" x14ac:dyDescent="0.25">
      <c r="A492" s="1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</row>
    <row r="493" spans="1:19" x14ac:dyDescent="0.25">
      <c r="A493" s="1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</row>
    <row r="494" spans="1:19" x14ac:dyDescent="0.25">
      <c r="A494" s="1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</row>
    <row r="495" spans="1:19" x14ac:dyDescent="0.25">
      <c r="A495" s="1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</row>
    <row r="496" spans="1:19" x14ac:dyDescent="0.25">
      <c r="A496" s="1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</row>
    <row r="497" spans="1:19" x14ac:dyDescent="0.25">
      <c r="A497" s="1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</row>
    <row r="498" spans="1:19" x14ac:dyDescent="0.25">
      <c r="A498" s="1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</row>
    <row r="499" spans="1:19" x14ac:dyDescent="0.25">
      <c r="A499" s="1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</row>
    <row r="500" spans="1:19" x14ac:dyDescent="0.25">
      <c r="A500" s="1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</row>
    <row r="501" spans="1:19" x14ac:dyDescent="0.25">
      <c r="A501" s="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</row>
    <row r="502" spans="1:19" x14ac:dyDescent="0.25">
      <c r="A502" s="1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</row>
    <row r="503" spans="1:19" x14ac:dyDescent="0.25">
      <c r="A503" s="1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</row>
    <row r="504" spans="1:19" x14ac:dyDescent="0.25">
      <c r="A504" s="1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</row>
    <row r="505" spans="1:19" x14ac:dyDescent="0.25">
      <c r="A505" s="1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</row>
    <row r="506" spans="1:19" x14ac:dyDescent="0.25">
      <c r="A506" s="1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</row>
    <row r="507" spans="1:19" x14ac:dyDescent="0.25">
      <c r="A507" s="1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</row>
    <row r="508" spans="1:19" x14ac:dyDescent="0.25">
      <c r="A508" s="1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</row>
    <row r="509" spans="1:19" x14ac:dyDescent="0.25">
      <c r="A509" s="1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</row>
    <row r="510" spans="1:19" x14ac:dyDescent="0.25">
      <c r="A510" s="1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</row>
    <row r="511" spans="1:19" x14ac:dyDescent="0.25">
      <c r="A511" s="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</row>
    <row r="512" spans="1:19" x14ac:dyDescent="0.25">
      <c r="A512" s="1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</row>
    <row r="513" spans="1:19" x14ac:dyDescent="0.25">
      <c r="A513" s="1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</row>
    <row r="514" spans="1:19" x14ac:dyDescent="0.25">
      <c r="A514" s="1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</row>
    <row r="515" spans="1:19" x14ac:dyDescent="0.25">
      <c r="A515" s="1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</row>
    <row r="516" spans="1:19" x14ac:dyDescent="0.25">
      <c r="A516" s="1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</row>
    <row r="517" spans="1:19" x14ac:dyDescent="0.25">
      <c r="A517" s="1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</row>
    <row r="518" spans="1:19" x14ac:dyDescent="0.25">
      <c r="A518" s="1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</row>
    <row r="519" spans="1:19" x14ac:dyDescent="0.25">
      <c r="A519" s="1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</row>
    <row r="520" spans="1:19" x14ac:dyDescent="0.25">
      <c r="A520" s="1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</row>
    <row r="521" spans="1:19" x14ac:dyDescent="0.25">
      <c r="A521" s="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</row>
    <row r="522" spans="1:19" x14ac:dyDescent="0.25">
      <c r="A522" s="1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</row>
    <row r="523" spans="1:19" x14ac:dyDescent="0.25">
      <c r="A523" s="1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</row>
    <row r="524" spans="1:19" x14ac:dyDescent="0.25">
      <c r="A524" s="1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</row>
    <row r="525" spans="1:19" x14ac:dyDescent="0.25">
      <c r="A525" s="1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</row>
    <row r="526" spans="1:19" x14ac:dyDescent="0.25">
      <c r="A526" s="1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</row>
    <row r="527" spans="1:19" x14ac:dyDescent="0.25">
      <c r="A527" s="1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</row>
    <row r="528" spans="1:19" x14ac:dyDescent="0.25">
      <c r="A528" s="1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</row>
    <row r="529" spans="1:19" x14ac:dyDescent="0.25">
      <c r="A529" s="1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</row>
    <row r="530" spans="1:19" x14ac:dyDescent="0.25">
      <c r="A530" s="1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</row>
    <row r="531" spans="1:19" x14ac:dyDescent="0.25">
      <c r="A531" s="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</row>
    <row r="532" spans="1:19" x14ac:dyDescent="0.25">
      <c r="A532" s="1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</row>
    <row r="533" spans="1:19" x14ac:dyDescent="0.25">
      <c r="A533" s="1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</row>
    <row r="534" spans="1:19" x14ac:dyDescent="0.25">
      <c r="A534" s="1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</row>
    <row r="535" spans="1:19" x14ac:dyDescent="0.25">
      <c r="A535" s="1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</row>
    <row r="536" spans="1:19" x14ac:dyDescent="0.25">
      <c r="A536" s="1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</row>
    <row r="537" spans="1:19" x14ac:dyDescent="0.25">
      <c r="A537" s="1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</row>
    <row r="538" spans="1:19" x14ac:dyDescent="0.25">
      <c r="A538" s="1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</row>
    <row r="539" spans="1:19" x14ac:dyDescent="0.25">
      <c r="A539" s="1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</row>
    <row r="540" spans="1:19" x14ac:dyDescent="0.25">
      <c r="A540" s="1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</row>
    <row r="541" spans="1:19" x14ac:dyDescent="0.25">
      <c r="A541" s="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</row>
    <row r="542" spans="1:19" x14ac:dyDescent="0.25">
      <c r="A542" s="1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</row>
    <row r="543" spans="1:19" x14ac:dyDescent="0.25">
      <c r="A543" s="1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</row>
    <row r="544" spans="1:19" x14ac:dyDescent="0.25">
      <c r="A544" s="1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</row>
    <row r="545" spans="1:19" x14ac:dyDescent="0.25">
      <c r="A545" s="1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</row>
    <row r="546" spans="1:19" x14ac:dyDescent="0.25">
      <c r="A546" s="1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</row>
    <row r="547" spans="1:19" x14ac:dyDescent="0.25">
      <c r="A547" s="1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</row>
    <row r="548" spans="1:19" x14ac:dyDescent="0.25">
      <c r="A548" s="1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</row>
    <row r="549" spans="1:19" x14ac:dyDescent="0.25">
      <c r="A549" s="1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</row>
    <row r="550" spans="1:19" x14ac:dyDescent="0.25">
      <c r="A550" s="1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</row>
    <row r="551" spans="1:19" x14ac:dyDescent="0.25">
      <c r="A551" s="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</row>
    <row r="552" spans="1:19" x14ac:dyDescent="0.25">
      <c r="A552" s="1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</row>
    <row r="553" spans="1:19" x14ac:dyDescent="0.25">
      <c r="A553" s="1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</row>
    <row r="554" spans="1:19" x14ac:dyDescent="0.25">
      <c r="A554" s="1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</row>
    <row r="555" spans="1:19" x14ac:dyDescent="0.25">
      <c r="A555" s="1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</row>
    <row r="556" spans="1:19" x14ac:dyDescent="0.25">
      <c r="A556" s="1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</row>
    <row r="557" spans="1:19" x14ac:dyDescent="0.25">
      <c r="A557" s="1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</row>
    <row r="558" spans="1:19" x14ac:dyDescent="0.25">
      <c r="A558" s="1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</row>
    <row r="559" spans="1:19" x14ac:dyDescent="0.25">
      <c r="A559" s="1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</row>
    <row r="560" spans="1:19" x14ac:dyDescent="0.25">
      <c r="A560" s="1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</row>
    <row r="561" spans="1:19" x14ac:dyDescent="0.25">
      <c r="A561" s="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</row>
    <row r="562" spans="1:19" x14ac:dyDescent="0.25">
      <c r="A562" s="1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</row>
    <row r="563" spans="1:19" x14ac:dyDescent="0.25">
      <c r="A563" s="1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</row>
    <row r="564" spans="1:19" x14ac:dyDescent="0.25">
      <c r="A564" s="1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</row>
    <row r="565" spans="1:19" x14ac:dyDescent="0.25">
      <c r="A565" s="1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</row>
    <row r="566" spans="1:19" x14ac:dyDescent="0.25">
      <c r="A566" s="1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</row>
    <row r="567" spans="1:19" x14ac:dyDescent="0.25">
      <c r="A567" s="1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</row>
    <row r="568" spans="1:19" x14ac:dyDescent="0.25">
      <c r="A568" s="1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</row>
    <row r="569" spans="1:19" x14ac:dyDescent="0.25">
      <c r="A569" s="1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</row>
    <row r="570" spans="1:19" x14ac:dyDescent="0.25">
      <c r="A570" s="1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</row>
    <row r="571" spans="1:19" x14ac:dyDescent="0.25">
      <c r="A571" s="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</row>
    <row r="572" spans="1:19" x14ac:dyDescent="0.25">
      <c r="A572" s="1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</row>
    <row r="573" spans="1:19" x14ac:dyDescent="0.25">
      <c r="A573" s="1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</row>
    <row r="574" spans="1:19" x14ac:dyDescent="0.25">
      <c r="A574" s="1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</row>
    <row r="575" spans="1:19" x14ac:dyDescent="0.25">
      <c r="A575" s="1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</row>
    <row r="576" spans="1:19" x14ac:dyDescent="0.25">
      <c r="A576" s="1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</row>
    <row r="577" spans="1:19" x14ac:dyDescent="0.25">
      <c r="A577" s="1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</row>
    <row r="578" spans="1:19" x14ac:dyDescent="0.25">
      <c r="A578" s="1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</row>
    <row r="579" spans="1:19" x14ac:dyDescent="0.25">
      <c r="A579" s="1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</row>
    <row r="580" spans="1:19" x14ac:dyDescent="0.25">
      <c r="A580" s="1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</row>
    <row r="581" spans="1:19" x14ac:dyDescent="0.25">
      <c r="A581" s="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</row>
    <row r="582" spans="1:19" x14ac:dyDescent="0.25">
      <c r="A582" s="1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</row>
    <row r="583" spans="1:19" x14ac:dyDescent="0.25">
      <c r="A583" s="1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</row>
    <row r="584" spans="1:19" x14ac:dyDescent="0.25">
      <c r="A584" s="1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</row>
    <row r="585" spans="1:19" x14ac:dyDescent="0.25">
      <c r="A585" s="1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</row>
    <row r="586" spans="1:19" x14ac:dyDescent="0.25">
      <c r="A586" s="1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</row>
    <row r="587" spans="1:19" x14ac:dyDescent="0.25">
      <c r="A587" s="1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</row>
    <row r="588" spans="1:19" x14ac:dyDescent="0.25">
      <c r="A588" s="1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</row>
    <row r="589" spans="1:19" x14ac:dyDescent="0.25">
      <c r="A589" s="1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</row>
    <row r="590" spans="1:19" x14ac:dyDescent="0.25">
      <c r="A590" s="1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</row>
    <row r="591" spans="1:19" x14ac:dyDescent="0.25">
      <c r="A591" s="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</row>
    <row r="592" spans="1:19" x14ac:dyDescent="0.25">
      <c r="A592" s="1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</row>
    <row r="593" spans="1:19" x14ac:dyDescent="0.25">
      <c r="A593" s="1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</row>
    <row r="594" spans="1:19" x14ac:dyDescent="0.25">
      <c r="A594" s="1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</row>
    <row r="595" spans="1:19" x14ac:dyDescent="0.25">
      <c r="A595" s="1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</row>
    <row r="596" spans="1:19" x14ac:dyDescent="0.25">
      <c r="A596" s="1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</row>
    <row r="597" spans="1:19" x14ac:dyDescent="0.25">
      <c r="A597" s="1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</row>
    <row r="598" spans="1:19" x14ac:dyDescent="0.25">
      <c r="A598" s="1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</row>
    <row r="599" spans="1:19" x14ac:dyDescent="0.25">
      <c r="A599" s="1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</row>
    <row r="600" spans="1:19" x14ac:dyDescent="0.25">
      <c r="A600" s="1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</row>
    <row r="601" spans="1:19" x14ac:dyDescent="0.25">
      <c r="A601" s="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</row>
    <row r="602" spans="1:19" x14ac:dyDescent="0.25">
      <c r="A602" s="1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</row>
    <row r="603" spans="1:19" x14ac:dyDescent="0.25">
      <c r="A603" s="1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</row>
    <row r="604" spans="1:19" x14ac:dyDescent="0.25">
      <c r="A604" s="1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</row>
    <row r="605" spans="1:19" x14ac:dyDescent="0.25">
      <c r="A605" s="1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</row>
    <row r="606" spans="1:19" x14ac:dyDescent="0.25">
      <c r="A606" s="1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</row>
    <row r="607" spans="1:19" x14ac:dyDescent="0.25">
      <c r="A607" s="1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</row>
    <row r="608" spans="1:19" x14ac:dyDescent="0.25">
      <c r="A608" s="1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</row>
    <row r="609" spans="1:19" x14ac:dyDescent="0.25">
      <c r="A609" s="1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</row>
    <row r="610" spans="1:19" x14ac:dyDescent="0.25">
      <c r="A610" s="1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</row>
    <row r="611" spans="1:19" x14ac:dyDescent="0.25">
      <c r="A611" s="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</row>
    <row r="612" spans="1:19" x14ac:dyDescent="0.25">
      <c r="A612" s="1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</row>
    <row r="613" spans="1:19" x14ac:dyDescent="0.25">
      <c r="A613" s="1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</row>
    <row r="614" spans="1:19" x14ac:dyDescent="0.25">
      <c r="A614" s="1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</row>
    <row r="615" spans="1:19" x14ac:dyDescent="0.25">
      <c r="A615" s="1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</row>
    <row r="616" spans="1:19" x14ac:dyDescent="0.25">
      <c r="A616" s="1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</row>
    <row r="617" spans="1:19" x14ac:dyDescent="0.25">
      <c r="A617" s="1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</row>
    <row r="618" spans="1:19" x14ac:dyDescent="0.25">
      <c r="A618" s="1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</row>
    <row r="619" spans="1:19" x14ac:dyDescent="0.25">
      <c r="A619" s="1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</row>
    <row r="620" spans="1:19" x14ac:dyDescent="0.25">
      <c r="A620" s="1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</row>
    <row r="621" spans="1:19" x14ac:dyDescent="0.25">
      <c r="A621" s="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</row>
    <row r="622" spans="1:19" x14ac:dyDescent="0.25">
      <c r="A622" s="1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</row>
    <row r="623" spans="1:19" x14ac:dyDescent="0.25">
      <c r="A623" s="1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</row>
    <row r="624" spans="1:19" x14ac:dyDescent="0.25">
      <c r="A624" s="1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</row>
    <row r="625" spans="1:19" x14ac:dyDescent="0.25">
      <c r="A625" s="1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</row>
    <row r="626" spans="1:19" x14ac:dyDescent="0.25">
      <c r="A626" s="1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</row>
    <row r="627" spans="1:19" x14ac:dyDescent="0.25">
      <c r="A627" s="1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</row>
    <row r="628" spans="1:19" x14ac:dyDescent="0.25">
      <c r="A628" s="1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</row>
    <row r="629" spans="1:19" x14ac:dyDescent="0.25">
      <c r="A629" s="1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</row>
    <row r="630" spans="1:19" x14ac:dyDescent="0.25">
      <c r="A630" s="1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</row>
    <row r="631" spans="1:19" x14ac:dyDescent="0.25">
      <c r="A631" s="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</row>
    <row r="632" spans="1:19" x14ac:dyDescent="0.25">
      <c r="A632" s="1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</row>
    <row r="633" spans="1:19" x14ac:dyDescent="0.25">
      <c r="A633" s="1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</row>
    <row r="634" spans="1:19" x14ac:dyDescent="0.25">
      <c r="A634" s="1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</row>
    <row r="635" spans="1:19" x14ac:dyDescent="0.25">
      <c r="A635" s="1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</row>
    <row r="636" spans="1:19" x14ac:dyDescent="0.25">
      <c r="A636" s="1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</row>
    <row r="637" spans="1:19" x14ac:dyDescent="0.25">
      <c r="A637" s="1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</row>
    <row r="638" spans="1:19" x14ac:dyDescent="0.25">
      <c r="A638" s="1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</row>
    <row r="639" spans="1:19" x14ac:dyDescent="0.25">
      <c r="A639" s="1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</row>
    <row r="640" spans="1:19" x14ac:dyDescent="0.25">
      <c r="A640" s="1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</row>
    <row r="641" spans="1:19" x14ac:dyDescent="0.25">
      <c r="A641" s="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</row>
    <row r="642" spans="1:19" x14ac:dyDescent="0.25">
      <c r="A642" s="1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</row>
    <row r="643" spans="1:19" x14ac:dyDescent="0.25">
      <c r="A643" s="1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</row>
    <row r="644" spans="1:19" x14ac:dyDescent="0.25">
      <c r="A644" s="1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</row>
    <row r="645" spans="1:19" x14ac:dyDescent="0.25">
      <c r="A645" s="1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</row>
    <row r="646" spans="1:19" x14ac:dyDescent="0.25">
      <c r="A646" s="1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</row>
    <row r="647" spans="1:19" x14ac:dyDescent="0.25">
      <c r="A647" s="1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</row>
    <row r="648" spans="1:19" x14ac:dyDescent="0.25">
      <c r="A648" s="1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</row>
    <row r="649" spans="1:19" x14ac:dyDescent="0.25">
      <c r="A649" s="1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</row>
    <row r="650" spans="1:19" x14ac:dyDescent="0.25">
      <c r="A650" s="1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</row>
    <row r="651" spans="1:19" x14ac:dyDescent="0.25">
      <c r="A651" s="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</row>
    <row r="652" spans="1:19" x14ac:dyDescent="0.25">
      <c r="A652" s="1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</row>
    <row r="653" spans="1:19" x14ac:dyDescent="0.25">
      <c r="A653" s="1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</row>
    <row r="654" spans="1:19" x14ac:dyDescent="0.25">
      <c r="A654" s="1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</row>
    <row r="655" spans="1:19" x14ac:dyDescent="0.25">
      <c r="A655" s="1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</row>
    <row r="656" spans="1:19" x14ac:dyDescent="0.25">
      <c r="A656" s="1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</row>
    <row r="657" spans="1:19" x14ac:dyDescent="0.25">
      <c r="A657" s="1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</row>
    <row r="658" spans="1:19" x14ac:dyDescent="0.25">
      <c r="A658" s="1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</row>
    <row r="659" spans="1:19" x14ac:dyDescent="0.25">
      <c r="A659" s="1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</row>
    <row r="660" spans="1:19" x14ac:dyDescent="0.25">
      <c r="A660" s="1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</row>
    <row r="661" spans="1:19" x14ac:dyDescent="0.25">
      <c r="A661" s="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</row>
    <row r="662" spans="1:19" x14ac:dyDescent="0.25">
      <c r="A662" s="1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</row>
    <row r="663" spans="1:19" x14ac:dyDescent="0.25">
      <c r="A663" s="1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</row>
    <row r="664" spans="1:19" x14ac:dyDescent="0.25">
      <c r="A664" s="1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</row>
    <row r="665" spans="1:19" x14ac:dyDescent="0.25">
      <c r="A665" s="1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</row>
    <row r="666" spans="1:19" x14ac:dyDescent="0.25">
      <c r="A666" s="1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</row>
    <row r="667" spans="1:19" x14ac:dyDescent="0.25">
      <c r="A667" s="1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</row>
    <row r="668" spans="1:19" x14ac:dyDescent="0.25">
      <c r="A668" s="1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</row>
    <row r="669" spans="1:19" x14ac:dyDescent="0.25">
      <c r="A669" s="1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</row>
    <row r="670" spans="1:19" x14ac:dyDescent="0.25">
      <c r="A670" s="1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</row>
    <row r="671" spans="1:19" x14ac:dyDescent="0.25">
      <c r="A671" s="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</row>
    <row r="672" spans="1:19" x14ac:dyDescent="0.25">
      <c r="A672" s="1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</row>
    <row r="673" spans="1:19" x14ac:dyDescent="0.25">
      <c r="A673" s="1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</row>
    <row r="674" spans="1:19" x14ac:dyDescent="0.25">
      <c r="A674" s="1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</row>
    <row r="675" spans="1:19" x14ac:dyDescent="0.25">
      <c r="A675" s="1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</row>
    <row r="676" spans="1:19" x14ac:dyDescent="0.25">
      <c r="A676" s="1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</row>
    <row r="677" spans="1:19" x14ac:dyDescent="0.25">
      <c r="A677" s="1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</row>
    <row r="678" spans="1:19" x14ac:dyDescent="0.25">
      <c r="A678" s="1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</row>
    <row r="679" spans="1:19" x14ac:dyDescent="0.25">
      <c r="A679" s="1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</row>
    <row r="680" spans="1:19" x14ac:dyDescent="0.25">
      <c r="A680" s="1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</row>
    <row r="681" spans="1:19" x14ac:dyDescent="0.25">
      <c r="A681" s="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</row>
    <row r="682" spans="1:19" x14ac:dyDescent="0.25">
      <c r="A682" s="1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</row>
    <row r="683" spans="1:19" x14ac:dyDescent="0.25">
      <c r="A683" s="1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</row>
    <row r="684" spans="1:19" x14ac:dyDescent="0.25">
      <c r="A684" s="1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</row>
    <row r="685" spans="1:19" x14ac:dyDescent="0.25">
      <c r="A685" s="1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</row>
    <row r="686" spans="1:19" x14ac:dyDescent="0.25">
      <c r="A686" s="1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</row>
    <row r="687" spans="1:19" x14ac:dyDescent="0.25">
      <c r="A687" s="1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</row>
    <row r="688" spans="1:19" x14ac:dyDescent="0.25">
      <c r="A688" s="1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</row>
    <row r="689" spans="1:19" x14ac:dyDescent="0.25">
      <c r="A689" s="1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</row>
    <row r="690" spans="1:19" x14ac:dyDescent="0.25">
      <c r="A690" s="1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</row>
    <row r="691" spans="1:19" x14ac:dyDescent="0.25">
      <c r="A691" s="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</row>
    <row r="692" spans="1:19" x14ac:dyDescent="0.25">
      <c r="A692" s="1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</row>
    <row r="693" spans="1:19" x14ac:dyDescent="0.25">
      <c r="A693" s="1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</row>
    <row r="694" spans="1:19" x14ac:dyDescent="0.25">
      <c r="A694" s="1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</row>
    <row r="695" spans="1:19" x14ac:dyDescent="0.25">
      <c r="A695" s="1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</row>
    <row r="696" spans="1:19" x14ac:dyDescent="0.25">
      <c r="A696" s="1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</row>
    <row r="697" spans="1:19" x14ac:dyDescent="0.25">
      <c r="A697" s="1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</row>
    <row r="698" spans="1:19" x14ac:dyDescent="0.25">
      <c r="A698" s="1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</row>
    <row r="699" spans="1:19" x14ac:dyDescent="0.25">
      <c r="A699" s="1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</row>
    <row r="700" spans="1:19" x14ac:dyDescent="0.25">
      <c r="A700" s="1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</row>
    <row r="701" spans="1:19" x14ac:dyDescent="0.25">
      <c r="A701" s="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</row>
    <row r="702" spans="1:19" x14ac:dyDescent="0.25">
      <c r="A702" s="1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</row>
    <row r="703" spans="1:19" x14ac:dyDescent="0.25">
      <c r="A703" s="1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</row>
    <row r="704" spans="1:19" x14ac:dyDescent="0.25">
      <c r="A704" s="1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</row>
    <row r="705" spans="1:19" x14ac:dyDescent="0.25">
      <c r="A705" s="1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</row>
    <row r="706" spans="1:19" x14ac:dyDescent="0.25">
      <c r="A706" s="1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</row>
    <row r="707" spans="1:19" x14ac:dyDescent="0.25">
      <c r="A707" s="1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</row>
    <row r="708" spans="1:19" x14ac:dyDescent="0.25">
      <c r="A708" s="1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</row>
    <row r="709" spans="1:19" x14ac:dyDescent="0.25">
      <c r="A709" s="1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</row>
    <row r="710" spans="1:19" x14ac:dyDescent="0.25">
      <c r="A710" s="1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</row>
    <row r="711" spans="1:19" x14ac:dyDescent="0.25">
      <c r="A711" s="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</row>
    <row r="712" spans="1:19" x14ac:dyDescent="0.25">
      <c r="A712" s="1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</row>
    <row r="713" spans="1:19" x14ac:dyDescent="0.25">
      <c r="A713" s="1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</row>
    <row r="714" spans="1:19" x14ac:dyDescent="0.25">
      <c r="A714" s="1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</row>
    <row r="715" spans="1:19" x14ac:dyDescent="0.25">
      <c r="A715" s="1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</row>
    <row r="716" spans="1:19" x14ac:dyDescent="0.25">
      <c r="A716" s="1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</row>
    <row r="717" spans="1:19" x14ac:dyDescent="0.25">
      <c r="A717" s="1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</row>
    <row r="718" spans="1:19" x14ac:dyDescent="0.25">
      <c r="A718" s="1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</row>
    <row r="719" spans="1:19" x14ac:dyDescent="0.25">
      <c r="A719" s="1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</row>
    <row r="720" spans="1:19" x14ac:dyDescent="0.25">
      <c r="A720" s="1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</row>
    <row r="721" spans="1:19" x14ac:dyDescent="0.25">
      <c r="A721" s="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</row>
    <row r="722" spans="1:19" x14ac:dyDescent="0.25">
      <c r="A722" s="1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</row>
    <row r="723" spans="1:19" x14ac:dyDescent="0.25">
      <c r="A723" s="1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</row>
    <row r="724" spans="1:19" x14ac:dyDescent="0.25">
      <c r="A724" s="1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</row>
    <row r="725" spans="1:19" x14ac:dyDescent="0.25">
      <c r="A725" s="1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</row>
    <row r="726" spans="1:19" x14ac:dyDescent="0.25">
      <c r="A726" s="1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</row>
    <row r="727" spans="1:19" x14ac:dyDescent="0.25">
      <c r="A727" s="1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</row>
    <row r="728" spans="1:19" x14ac:dyDescent="0.25">
      <c r="A728" s="1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</row>
    <row r="729" spans="1:19" x14ac:dyDescent="0.25">
      <c r="A729" s="1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</row>
    <row r="730" spans="1:19" x14ac:dyDescent="0.25">
      <c r="A730" s="1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</row>
    <row r="731" spans="1:19" x14ac:dyDescent="0.25">
      <c r="A731" s="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</row>
    <row r="732" spans="1:19" x14ac:dyDescent="0.25">
      <c r="A732" s="1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</row>
    <row r="733" spans="1:19" x14ac:dyDescent="0.25">
      <c r="A733" s="1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</row>
    <row r="734" spans="1:19" x14ac:dyDescent="0.25">
      <c r="A734" s="1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</row>
    <row r="735" spans="1:19" x14ac:dyDescent="0.25">
      <c r="A735" s="1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</row>
    <row r="736" spans="1:19" x14ac:dyDescent="0.25">
      <c r="A736" s="1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</row>
    <row r="737" spans="1:19" x14ac:dyDescent="0.25">
      <c r="A737" s="1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</row>
    <row r="738" spans="1:19" x14ac:dyDescent="0.25">
      <c r="A738" s="1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</row>
    <row r="739" spans="1:19" x14ac:dyDescent="0.25">
      <c r="A739" s="1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</row>
    <row r="740" spans="1:19" x14ac:dyDescent="0.25">
      <c r="A740" s="1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</row>
    <row r="741" spans="1:19" x14ac:dyDescent="0.25">
      <c r="A741" s="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</row>
    <row r="742" spans="1:19" x14ac:dyDescent="0.25">
      <c r="A742" s="1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</row>
    <row r="743" spans="1:19" x14ac:dyDescent="0.25">
      <c r="A743" s="1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</row>
    <row r="744" spans="1:19" x14ac:dyDescent="0.25">
      <c r="A744" s="1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</row>
    <row r="745" spans="1:19" x14ac:dyDescent="0.25">
      <c r="A745" s="1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</row>
    <row r="746" spans="1:19" x14ac:dyDescent="0.25">
      <c r="A746" s="1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</row>
    <row r="747" spans="1:19" x14ac:dyDescent="0.25">
      <c r="A747" s="1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</row>
    <row r="748" spans="1:19" x14ac:dyDescent="0.25">
      <c r="A748" s="1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</row>
    <row r="749" spans="1:19" x14ac:dyDescent="0.25">
      <c r="A749" s="1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</row>
    <row r="750" spans="1:19" x14ac:dyDescent="0.25">
      <c r="A750" s="1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</row>
    <row r="751" spans="1:19" x14ac:dyDescent="0.25">
      <c r="A751" s="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</row>
    <row r="752" spans="1:19" x14ac:dyDescent="0.25">
      <c r="A752" s="1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</row>
    <row r="753" spans="1:19" x14ac:dyDescent="0.25">
      <c r="A753" s="1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</row>
    <row r="754" spans="1:19" x14ac:dyDescent="0.25">
      <c r="A754" s="1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</row>
    <row r="755" spans="1:19" x14ac:dyDescent="0.25">
      <c r="A755" s="1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</row>
    <row r="756" spans="1:19" x14ac:dyDescent="0.25">
      <c r="A756" s="1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</row>
    <row r="757" spans="1:19" x14ac:dyDescent="0.25">
      <c r="A757" s="1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</row>
    <row r="758" spans="1:19" x14ac:dyDescent="0.25">
      <c r="A758" s="1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</row>
    <row r="759" spans="1:19" x14ac:dyDescent="0.25">
      <c r="A759" s="1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</row>
    <row r="760" spans="1:19" x14ac:dyDescent="0.25">
      <c r="A760" s="1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</row>
    <row r="761" spans="1:19" x14ac:dyDescent="0.25">
      <c r="A761" s="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</row>
    <row r="762" spans="1:19" x14ac:dyDescent="0.25">
      <c r="A762" s="1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</row>
    <row r="763" spans="1:19" x14ac:dyDescent="0.25">
      <c r="A763" s="1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</row>
    <row r="764" spans="1:19" x14ac:dyDescent="0.25">
      <c r="A764" s="1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</row>
    <row r="765" spans="1:19" x14ac:dyDescent="0.25">
      <c r="A765" s="1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</row>
    <row r="766" spans="1:19" x14ac:dyDescent="0.25">
      <c r="A766" s="1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</row>
    <row r="767" spans="1:19" x14ac:dyDescent="0.25">
      <c r="A767" s="1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</row>
    <row r="768" spans="1:19" x14ac:dyDescent="0.25">
      <c r="A768" s="1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</row>
    <row r="769" spans="1:19" x14ac:dyDescent="0.25">
      <c r="A769" s="1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</row>
    <row r="770" spans="1:19" x14ac:dyDescent="0.25">
      <c r="A770" s="1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</row>
    <row r="771" spans="1:19" x14ac:dyDescent="0.25">
      <c r="A771" s="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</row>
    <row r="772" spans="1:19" x14ac:dyDescent="0.25">
      <c r="A772" s="1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</row>
    <row r="773" spans="1:19" x14ac:dyDescent="0.25">
      <c r="A773" s="1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</row>
    <row r="774" spans="1:19" x14ac:dyDescent="0.25">
      <c r="A774" s="1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</row>
    <row r="775" spans="1:19" x14ac:dyDescent="0.25">
      <c r="A775" s="1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</row>
    <row r="776" spans="1:19" x14ac:dyDescent="0.25">
      <c r="A776" s="1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</row>
    <row r="777" spans="1:19" x14ac:dyDescent="0.25">
      <c r="A777" s="1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</row>
    <row r="778" spans="1:19" x14ac:dyDescent="0.25">
      <c r="A778" s="1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</row>
    <row r="779" spans="1:19" x14ac:dyDescent="0.25">
      <c r="A779" s="1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</row>
    <row r="780" spans="1:19" x14ac:dyDescent="0.25">
      <c r="A780" s="1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</row>
    <row r="781" spans="1:19" x14ac:dyDescent="0.25">
      <c r="A781" s="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</row>
    <row r="782" spans="1:19" x14ac:dyDescent="0.25">
      <c r="A782" s="1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</row>
    <row r="783" spans="1:19" x14ac:dyDescent="0.25">
      <c r="A783" s="1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</row>
    <row r="784" spans="1:19" x14ac:dyDescent="0.25">
      <c r="A784" s="1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</row>
    <row r="785" spans="1:19" x14ac:dyDescent="0.25">
      <c r="A785" s="1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</row>
    <row r="786" spans="1:19" x14ac:dyDescent="0.25">
      <c r="A786" s="1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</row>
    <row r="787" spans="1:19" x14ac:dyDescent="0.25">
      <c r="A787" s="1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</row>
    <row r="788" spans="1:19" x14ac:dyDescent="0.25">
      <c r="A788" s="1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</row>
    <row r="789" spans="1:19" x14ac:dyDescent="0.25">
      <c r="A789" s="1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</row>
    <row r="790" spans="1:19" x14ac:dyDescent="0.25">
      <c r="A790" s="1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</row>
    <row r="791" spans="1:19" x14ac:dyDescent="0.25">
      <c r="A791" s="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</row>
    <row r="792" spans="1:19" x14ac:dyDescent="0.25">
      <c r="A792" s="1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</row>
    <row r="793" spans="1:19" x14ac:dyDescent="0.25">
      <c r="A793" s="1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</row>
    <row r="794" spans="1:19" x14ac:dyDescent="0.25">
      <c r="A794" s="1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</row>
    <row r="795" spans="1:19" x14ac:dyDescent="0.25">
      <c r="A795" s="1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</row>
    <row r="796" spans="1:19" x14ac:dyDescent="0.25">
      <c r="A796" s="1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</row>
    <row r="797" spans="1:19" x14ac:dyDescent="0.25">
      <c r="A797" s="1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</row>
    <row r="798" spans="1:19" x14ac:dyDescent="0.25">
      <c r="A798" s="1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</row>
    <row r="799" spans="1:19" x14ac:dyDescent="0.25">
      <c r="A799" s="1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</row>
    <row r="800" spans="1:19" x14ac:dyDescent="0.25">
      <c r="A800" s="1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</row>
    <row r="801" spans="1:19" x14ac:dyDescent="0.25">
      <c r="A801" s="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</row>
    <row r="802" spans="1:19" x14ac:dyDescent="0.25">
      <c r="A802" s="1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</row>
    <row r="803" spans="1:19" x14ac:dyDescent="0.25">
      <c r="A803" s="1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</row>
    <row r="804" spans="1:19" x14ac:dyDescent="0.25">
      <c r="A804" s="1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</row>
    <row r="805" spans="1:19" x14ac:dyDescent="0.25">
      <c r="A805" s="1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</row>
    <row r="806" spans="1:19" x14ac:dyDescent="0.25">
      <c r="A806" s="1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</row>
    <row r="807" spans="1:19" x14ac:dyDescent="0.25">
      <c r="A807" s="1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</row>
    <row r="808" spans="1:19" x14ac:dyDescent="0.25">
      <c r="A808" s="1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</row>
    <row r="809" spans="1:19" x14ac:dyDescent="0.25">
      <c r="A809" s="1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</row>
    <row r="810" spans="1:19" x14ac:dyDescent="0.25">
      <c r="A810" s="1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</row>
    <row r="811" spans="1:19" x14ac:dyDescent="0.25">
      <c r="A811" s="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</row>
    <row r="812" spans="1:19" x14ac:dyDescent="0.25">
      <c r="A812" s="1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</row>
    <row r="813" spans="1:19" x14ac:dyDescent="0.25">
      <c r="A813" s="1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</row>
    <row r="814" spans="1:19" x14ac:dyDescent="0.25">
      <c r="A814" s="1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</row>
    <row r="815" spans="1:19" x14ac:dyDescent="0.25">
      <c r="A815" s="1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</row>
    <row r="816" spans="1:19" x14ac:dyDescent="0.25">
      <c r="A816" s="1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</row>
    <row r="817" spans="1:19" x14ac:dyDescent="0.25">
      <c r="A817" s="1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</row>
    <row r="818" spans="1:19" x14ac:dyDescent="0.25">
      <c r="A818" s="1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</row>
    <row r="819" spans="1:19" x14ac:dyDescent="0.25">
      <c r="A819" s="1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</row>
    <row r="820" spans="1:19" x14ac:dyDescent="0.25">
      <c r="A820" s="1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</row>
    <row r="821" spans="1:19" x14ac:dyDescent="0.25">
      <c r="A821" s="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</row>
    <row r="822" spans="1:19" x14ac:dyDescent="0.25">
      <c r="A822" s="1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</row>
    <row r="823" spans="1:19" x14ac:dyDescent="0.25">
      <c r="A823" s="1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</row>
    <row r="824" spans="1:19" x14ac:dyDescent="0.25">
      <c r="A824" s="1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</row>
    <row r="825" spans="1:19" x14ac:dyDescent="0.25">
      <c r="A825" s="1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</row>
    <row r="826" spans="1:19" x14ac:dyDescent="0.25">
      <c r="A826" s="1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</row>
    <row r="827" spans="1:19" x14ac:dyDescent="0.25">
      <c r="A827" s="1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</row>
    <row r="828" spans="1:19" x14ac:dyDescent="0.25">
      <c r="A828" s="1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</row>
    <row r="829" spans="1:19" x14ac:dyDescent="0.25">
      <c r="A829" s="1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</row>
    <row r="830" spans="1:19" x14ac:dyDescent="0.25">
      <c r="A830" s="1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</row>
    <row r="831" spans="1:19" x14ac:dyDescent="0.25">
      <c r="A831" s="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</row>
    <row r="832" spans="1:19" x14ac:dyDescent="0.25">
      <c r="A832" s="1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</row>
    <row r="833" spans="1:19" x14ac:dyDescent="0.25">
      <c r="A833" s="1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</row>
    <row r="834" spans="1:19" x14ac:dyDescent="0.25">
      <c r="A834" s="1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</row>
    <row r="835" spans="1:19" x14ac:dyDescent="0.25">
      <c r="A835" s="1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</row>
    <row r="836" spans="1:19" x14ac:dyDescent="0.25">
      <c r="A836" s="1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</row>
    <row r="837" spans="1:19" x14ac:dyDescent="0.25">
      <c r="A837" s="1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</row>
    <row r="838" spans="1:19" x14ac:dyDescent="0.25">
      <c r="A838" s="1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</row>
    <row r="839" spans="1:19" x14ac:dyDescent="0.25">
      <c r="A839" s="1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</row>
    <row r="840" spans="1:19" x14ac:dyDescent="0.25">
      <c r="A840" s="1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</row>
    <row r="841" spans="1:19" x14ac:dyDescent="0.25">
      <c r="A841" s="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</row>
    <row r="842" spans="1:19" x14ac:dyDescent="0.25">
      <c r="A842" s="1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</row>
    <row r="843" spans="1:19" x14ac:dyDescent="0.25">
      <c r="A843" s="1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</row>
    <row r="844" spans="1:19" x14ac:dyDescent="0.25">
      <c r="A844" s="1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</row>
    <row r="845" spans="1:19" x14ac:dyDescent="0.25">
      <c r="A845" s="1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</row>
    <row r="846" spans="1:19" x14ac:dyDescent="0.25">
      <c r="A846" s="1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</row>
    <row r="847" spans="1:19" x14ac:dyDescent="0.25">
      <c r="A847" s="1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</row>
    <row r="848" spans="1:19" x14ac:dyDescent="0.25">
      <c r="A848" s="1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</row>
    <row r="849" spans="1:19" x14ac:dyDescent="0.25">
      <c r="A849" s="1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</row>
    <row r="850" spans="1:19" x14ac:dyDescent="0.25">
      <c r="A850" s="1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</row>
    <row r="851" spans="1:19" x14ac:dyDescent="0.25">
      <c r="A851" s="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</row>
    <row r="852" spans="1:19" x14ac:dyDescent="0.25">
      <c r="A852" s="1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</row>
    <row r="853" spans="1:19" x14ac:dyDescent="0.25">
      <c r="A853" s="1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</row>
    <row r="854" spans="1:19" x14ac:dyDescent="0.25">
      <c r="A854" s="1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</row>
    <row r="855" spans="1:19" x14ac:dyDescent="0.25">
      <c r="A855" s="1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</row>
    <row r="856" spans="1:19" x14ac:dyDescent="0.25">
      <c r="A856" s="1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</row>
    <row r="857" spans="1:19" x14ac:dyDescent="0.25">
      <c r="A857" s="1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</row>
    <row r="858" spans="1:19" x14ac:dyDescent="0.25">
      <c r="A858" s="1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</row>
    <row r="859" spans="1:19" x14ac:dyDescent="0.25">
      <c r="A859" s="1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</row>
    <row r="860" spans="1:19" x14ac:dyDescent="0.25">
      <c r="A860" s="1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</row>
    <row r="861" spans="1:19" x14ac:dyDescent="0.25">
      <c r="A861" s="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</row>
    <row r="862" spans="1:19" x14ac:dyDescent="0.25">
      <c r="A862" s="1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</row>
    <row r="863" spans="1:19" x14ac:dyDescent="0.25">
      <c r="A863" s="1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</row>
    <row r="864" spans="1:19" x14ac:dyDescent="0.25">
      <c r="A864" s="1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</row>
    <row r="865" spans="1:19" x14ac:dyDescent="0.25">
      <c r="A865" s="1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</row>
    <row r="866" spans="1:19" x14ac:dyDescent="0.25">
      <c r="A866" s="1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</row>
    <row r="867" spans="1:19" x14ac:dyDescent="0.25">
      <c r="A867" s="1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</row>
    <row r="868" spans="1:19" x14ac:dyDescent="0.25">
      <c r="A868" s="1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</row>
    <row r="869" spans="1:19" x14ac:dyDescent="0.25">
      <c r="A869" s="1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</row>
    <row r="870" spans="1:19" x14ac:dyDescent="0.25">
      <c r="A870" s="1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</row>
    <row r="871" spans="1:19" x14ac:dyDescent="0.25">
      <c r="A871" s="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</row>
    <row r="872" spans="1:19" x14ac:dyDescent="0.25">
      <c r="A872" s="1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</row>
    <row r="873" spans="1:19" x14ac:dyDescent="0.25">
      <c r="A873" s="1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</row>
    <row r="874" spans="1:19" x14ac:dyDescent="0.25">
      <c r="A874" s="1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</row>
    <row r="875" spans="1:19" x14ac:dyDescent="0.25">
      <c r="A875" s="1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</row>
    <row r="876" spans="1:19" x14ac:dyDescent="0.25">
      <c r="A876" s="1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</row>
    <row r="877" spans="1:19" x14ac:dyDescent="0.25">
      <c r="A877" s="1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</row>
    <row r="878" spans="1:19" x14ac:dyDescent="0.25">
      <c r="A878" s="1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</row>
    <row r="879" spans="1:19" x14ac:dyDescent="0.25">
      <c r="A879" s="1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</row>
    <row r="880" spans="1:19" x14ac:dyDescent="0.25">
      <c r="A880" s="1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</row>
    <row r="881" spans="1:19" x14ac:dyDescent="0.25">
      <c r="A881" s="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</row>
    <row r="882" spans="1:19" x14ac:dyDescent="0.25">
      <c r="A882" s="1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</row>
    <row r="883" spans="1:19" x14ac:dyDescent="0.25">
      <c r="A883" s="1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</row>
    <row r="884" spans="1:19" x14ac:dyDescent="0.25">
      <c r="A884" s="1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</row>
    <row r="885" spans="1:19" x14ac:dyDescent="0.25">
      <c r="A885" s="1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</row>
    <row r="886" spans="1:19" x14ac:dyDescent="0.25">
      <c r="A886" s="1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</row>
    <row r="887" spans="1:19" x14ac:dyDescent="0.25">
      <c r="A887" s="1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</row>
    <row r="888" spans="1:19" x14ac:dyDescent="0.25">
      <c r="A888" s="1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</row>
    <row r="889" spans="1:19" x14ac:dyDescent="0.25">
      <c r="A889" s="1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</row>
    <row r="890" spans="1:19" x14ac:dyDescent="0.25">
      <c r="A890" s="1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</row>
    <row r="891" spans="1:19" x14ac:dyDescent="0.25">
      <c r="A891" s="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</row>
    <row r="892" spans="1:19" x14ac:dyDescent="0.25">
      <c r="A892" s="1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</row>
    <row r="893" spans="1:19" x14ac:dyDescent="0.25">
      <c r="A893" s="1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</row>
    <row r="894" spans="1:19" x14ac:dyDescent="0.25">
      <c r="A894" s="1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</row>
    <row r="895" spans="1:19" x14ac:dyDescent="0.25">
      <c r="A895" s="1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</row>
    <row r="896" spans="1:19" x14ac:dyDescent="0.25">
      <c r="A896" s="1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</row>
    <row r="897" spans="1:19" x14ac:dyDescent="0.25">
      <c r="A897" s="1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</row>
    <row r="898" spans="1:19" x14ac:dyDescent="0.25">
      <c r="A898" s="1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</row>
    <row r="899" spans="1:19" x14ac:dyDescent="0.25">
      <c r="A899" s="1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</row>
    <row r="900" spans="1:19" x14ac:dyDescent="0.25">
      <c r="A900" s="1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</row>
    <row r="901" spans="1:19" x14ac:dyDescent="0.25">
      <c r="A901" s="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</row>
    <row r="902" spans="1:19" x14ac:dyDescent="0.25">
      <c r="A902" s="1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</row>
    <row r="903" spans="1:19" x14ac:dyDescent="0.25">
      <c r="A903" s="1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</row>
    <row r="904" spans="1:19" x14ac:dyDescent="0.25">
      <c r="A904" s="1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</row>
    <row r="905" spans="1:19" x14ac:dyDescent="0.25">
      <c r="A905" s="1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</row>
    <row r="906" spans="1:19" x14ac:dyDescent="0.25">
      <c r="A906" s="1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</row>
    <row r="907" spans="1:19" x14ac:dyDescent="0.25">
      <c r="A907" s="1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</row>
    <row r="908" spans="1:19" x14ac:dyDescent="0.25">
      <c r="A908" s="1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</row>
    <row r="909" spans="1:19" x14ac:dyDescent="0.25">
      <c r="A909" s="1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</row>
    <row r="910" spans="1:19" x14ac:dyDescent="0.25">
      <c r="A910" s="1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</row>
    <row r="911" spans="1:19" x14ac:dyDescent="0.25">
      <c r="A911" s="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</row>
    <row r="912" spans="1:19" x14ac:dyDescent="0.25">
      <c r="A912" s="1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</row>
    <row r="913" spans="1:19" x14ac:dyDescent="0.25">
      <c r="A913" s="1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</row>
    <row r="914" spans="1:19" x14ac:dyDescent="0.25">
      <c r="A914" s="1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</row>
    <row r="915" spans="1:19" x14ac:dyDescent="0.25">
      <c r="A915" s="1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</row>
    <row r="916" spans="1:19" x14ac:dyDescent="0.25">
      <c r="A916" s="1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</row>
    <row r="917" spans="1:19" x14ac:dyDescent="0.25">
      <c r="A917" s="1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</row>
    <row r="918" spans="1:19" x14ac:dyDescent="0.25">
      <c r="A918" s="1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</row>
    <row r="919" spans="1:19" x14ac:dyDescent="0.25">
      <c r="A919" s="1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</row>
    <row r="920" spans="1:19" x14ac:dyDescent="0.25">
      <c r="A920" s="1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</row>
    <row r="921" spans="1:19" x14ac:dyDescent="0.25">
      <c r="A921" s="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</row>
    <row r="922" spans="1:19" x14ac:dyDescent="0.25">
      <c r="A922" s="1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</row>
    <row r="923" spans="1:19" x14ac:dyDescent="0.25">
      <c r="A923" s="1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</row>
    <row r="924" spans="1:19" x14ac:dyDescent="0.25">
      <c r="A924" s="1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</row>
    <row r="925" spans="1:19" x14ac:dyDescent="0.25">
      <c r="A925" s="1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</row>
    <row r="926" spans="1:19" x14ac:dyDescent="0.25">
      <c r="A926" s="1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</row>
    <row r="927" spans="1:19" x14ac:dyDescent="0.25">
      <c r="A927" s="1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</row>
    <row r="928" spans="1:19" x14ac:dyDescent="0.25">
      <c r="A928" s="1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</row>
    <row r="929" spans="1:19" x14ac:dyDescent="0.25">
      <c r="A929" s="1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</row>
    <row r="930" spans="1:19" x14ac:dyDescent="0.25">
      <c r="A930" s="1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</row>
    <row r="931" spans="1:19" x14ac:dyDescent="0.25">
      <c r="A931" s="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</row>
    <row r="932" spans="1:19" x14ac:dyDescent="0.25">
      <c r="A932" s="1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</row>
    <row r="933" spans="1:19" x14ac:dyDescent="0.25">
      <c r="A933" s="1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</row>
    <row r="934" spans="1:19" x14ac:dyDescent="0.25">
      <c r="A934" s="1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</row>
    <row r="935" spans="1:19" x14ac:dyDescent="0.25">
      <c r="A935" s="1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</row>
    <row r="936" spans="1:19" x14ac:dyDescent="0.25">
      <c r="A936" s="1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</row>
    <row r="937" spans="1:19" x14ac:dyDescent="0.25">
      <c r="A937" s="1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</row>
    <row r="938" spans="1:19" x14ac:dyDescent="0.25">
      <c r="A938" s="1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</row>
    <row r="939" spans="1:19" x14ac:dyDescent="0.25">
      <c r="A939" s="1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</row>
    <row r="940" spans="1:19" x14ac:dyDescent="0.25">
      <c r="A940" s="1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</row>
    <row r="941" spans="1:19" x14ac:dyDescent="0.25">
      <c r="A941" s="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</row>
    <row r="942" spans="1:19" x14ac:dyDescent="0.25">
      <c r="A942" s="1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</row>
    <row r="943" spans="1:19" x14ac:dyDescent="0.25">
      <c r="A943" s="1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</row>
    <row r="944" spans="1:19" x14ac:dyDescent="0.25">
      <c r="A944" s="1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</row>
    <row r="945" spans="1:19" x14ac:dyDescent="0.25">
      <c r="A945" s="1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</row>
    <row r="946" spans="1:19" x14ac:dyDescent="0.25">
      <c r="A946" s="1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</row>
    <row r="947" spans="1:19" x14ac:dyDescent="0.25">
      <c r="A947" s="1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</row>
    <row r="948" spans="1:19" x14ac:dyDescent="0.25">
      <c r="A948" s="1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</row>
    <row r="949" spans="1:19" x14ac:dyDescent="0.25">
      <c r="A949" s="1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</row>
    <row r="950" spans="1:19" x14ac:dyDescent="0.25">
      <c r="A950" s="1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</row>
    <row r="951" spans="1:19" x14ac:dyDescent="0.25">
      <c r="A951" s="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</row>
    <row r="952" spans="1:19" x14ac:dyDescent="0.25">
      <c r="A952" s="1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</row>
    <row r="953" spans="1:19" x14ac:dyDescent="0.25">
      <c r="A953" s="1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</row>
    <row r="954" spans="1:19" x14ac:dyDescent="0.25">
      <c r="A954" s="1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</row>
    <row r="955" spans="1:19" x14ac:dyDescent="0.25">
      <c r="A955" s="1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</row>
    <row r="956" spans="1:19" x14ac:dyDescent="0.25">
      <c r="A956" s="1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</row>
    <row r="957" spans="1:19" x14ac:dyDescent="0.25">
      <c r="A957" s="1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</row>
    <row r="958" spans="1:19" x14ac:dyDescent="0.25">
      <c r="A958" s="1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</row>
    <row r="959" spans="1:19" x14ac:dyDescent="0.25">
      <c r="A959" s="1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</row>
    <row r="960" spans="1:19" x14ac:dyDescent="0.25">
      <c r="A960" s="1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</row>
    <row r="961" spans="1:19" x14ac:dyDescent="0.25">
      <c r="A961" s="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</row>
    <row r="962" spans="1:19" x14ac:dyDescent="0.25">
      <c r="A962" s="1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</row>
    <row r="963" spans="1:19" x14ac:dyDescent="0.25">
      <c r="A963" s="1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</row>
    <row r="964" spans="1:19" x14ac:dyDescent="0.25">
      <c r="A964" s="1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</row>
    <row r="965" spans="1:19" x14ac:dyDescent="0.25">
      <c r="A965" s="1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</row>
    <row r="966" spans="1:19" x14ac:dyDescent="0.25">
      <c r="A966" s="1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</row>
    <row r="967" spans="1:19" x14ac:dyDescent="0.25">
      <c r="A967" s="1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</row>
    <row r="968" spans="1:19" x14ac:dyDescent="0.25">
      <c r="A968" s="1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</row>
    <row r="969" spans="1:19" x14ac:dyDescent="0.25">
      <c r="A969" s="1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</row>
    <row r="970" spans="1:19" x14ac:dyDescent="0.25">
      <c r="A970" s="1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</row>
    <row r="971" spans="1:19" x14ac:dyDescent="0.25">
      <c r="A971" s="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</row>
    <row r="972" spans="1:19" x14ac:dyDescent="0.25">
      <c r="A972" s="1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</row>
    <row r="973" spans="1:19" x14ac:dyDescent="0.25">
      <c r="A973" s="1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</row>
    <row r="974" spans="1:19" x14ac:dyDescent="0.25">
      <c r="A974" s="1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</row>
    <row r="975" spans="1:19" x14ac:dyDescent="0.25">
      <c r="A975" s="1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</row>
    <row r="976" spans="1:19" x14ac:dyDescent="0.25">
      <c r="A976" s="1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</row>
    <row r="977" spans="1:19" x14ac:dyDescent="0.25">
      <c r="A977" s="1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</row>
    <row r="978" spans="1:19" x14ac:dyDescent="0.25">
      <c r="A978" s="1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</row>
    <row r="979" spans="1:19" x14ac:dyDescent="0.25">
      <c r="A979" s="1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</row>
    <row r="980" spans="1:19" x14ac:dyDescent="0.25">
      <c r="A980" s="1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</row>
    <row r="981" spans="1:19" x14ac:dyDescent="0.25">
      <c r="A981" s="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</row>
    <row r="982" spans="1:19" x14ac:dyDescent="0.25">
      <c r="A982" s="1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</row>
    <row r="983" spans="1:19" x14ac:dyDescent="0.25">
      <c r="A983" s="1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</row>
    <row r="984" spans="1:19" x14ac:dyDescent="0.25">
      <c r="A984" s="1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</row>
    <row r="985" spans="1:19" x14ac:dyDescent="0.25">
      <c r="A985" s="1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</row>
    <row r="986" spans="1:19" x14ac:dyDescent="0.25">
      <c r="A986" s="1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</row>
    <row r="987" spans="1:19" x14ac:dyDescent="0.25">
      <c r="A987" s="1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</row>
    <row r="988" spans="1:19" x14ac:dyDescent="0.25">
      <c r="A988" s="1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</row>
    <row r="989" spans="1:19" x14ac:dyDescent="0.25">
      <c r="A989" s="1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</row>
    <row r="990" spans="1:19" x14ac:dyDescent="0.25">
      <c r="A990" s="1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</row>
    <row r="991" spans="1:19" x14ac:dyDescent="0.25">
      <c r="A991" s="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</row>
    <row r="992" spans="1:19" x14ac:dyDescent="0.25">
      <c r="A992" s="1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</row>
    <row r="993" spans="1:19" x14ac:dyDescent="0.25">
      <c r="A993" s="1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</row>
    <row r="994" spans="1:19" x14ac:dyDescent="0.25">
      <c r="A994" s="1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</row>
    <row r="995" spans="1:19" x14ac:dyDescent="0.25">
      <c r="A995" s="1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</row>
    <row r="996" spans="1:19" x14ac:dyDescent="0.25">
      <c r="A996" s="1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</row>
    <row r="997" spans="1:19" x14ac:dyDescent="0.25">
      <c r="A997" s="1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</row>
    <row r="998" spans="1:19" x14ac:dyDescent="0.25">
      <c r="A998" s="1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</row>
    <row r="999" spans="1:19" x14ac:dyDescent="0.25">
      <c r="A999" s="1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</row>
    <row r="1000" spans="1:19" x14ac:dyDescent="0.25">
      <c r="A1000" s="1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</row>
    <row r="1001" spans="1:19" x14ac:dyDescent="0.25">
      <c r="A1001" s="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</row>
    <row r="1002" spans="1:19" x14ac:dyDescent="0.25">
      <c r="A1002" s="1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</row>
    <row r="1003" spans="1:19" x14ac:dyDescent="0.25">
      <c r="A1003" s="1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</row>
    <row r="1004" spans="1:19" x14ac:dyDescent="0.25">
      <c r="A1004" s="1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</row>
    <row r="1005" spans="1:19" x14ac:dyDescent="0.25">
      <c r="A1005" s="1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</row>
    <row r="1006" spans="1:19" x14ac:dyDescent="0.25">
      <c r="A1006" s="1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</row>
    <row r="1007" spans="1:19" x14ac:dyDescent="0.25">
      <c r="A1007" s="1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</row>
    <row r="1008" spans="1:19" x14ac:dyDescent="0.25">
      <c r="A1008" s="1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</row>
    <row r="1009" spans="1:19" x14ac:dyDescent="0.25">
      <c r="A1009" s="1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</row>
    <row r="1010" spans="1:19" x14ac:dyDescent="0.25">
      <c r="A1010" s="1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</row>
    <row r="1011" spans="1:19" x14ac:dyDescent="0.25">
      <c r="A1011" s="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</row>
    <row r="1012" spans="1:19" x14ac:dyDescent="0.25">
      <c r="A1012" s="1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</row>
    <row r="1013" spans="1:19" x14ac:dyDescent="0.25">
      <c r="A1013" s="1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</row>
    <row r="1014" spans="1:19" x14ac:dyDescent="0.25">
      <c r="A1014" s="1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</row>
    <row r="1015" spans="1:19" x14ac:dyDescent="0.25">
      <c r="A1015" s="1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</row>
    <row r="1016" spans="1:19" x14ac:dyDescent="0.25">
      <c r="A1016" s="1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</row>
    <row r="1017" spans="1:19" x14ac:dyDescent="0.25">
      <c r="A1017" s="1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</row>
    <row r="1018" spans="1:19" x14ac:dyDescent="0.25">
      <c r="A1018" s="1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</row>
    <row r="1019" spans="1:19" x14ac:dyDescent="0.25">
      <c r="A1019" s="1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</row>
    <row r="1020" spans="1:19" x14ac:dyDescent="0.25">
      <c r="A1020" s="1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</row>
    <row r="1021" spans="1:19" x14ac:dyDescent="0.25">
      <c r="A1021" s="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</row>
    <row r="1022" spans="1:19" x14ac:dyDescent="0.25">
      <c r="A1022" s="1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</row>
    <row r="1023" spans="1:19" x14ac:dyDescent="0.25">
      <c r="A1023" s="1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</row>
    <row r="1024" spans="1:19" x14ac:dyDescent="0.25">
      <c r="A1024" s="1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</row>
    <row r="1025" spans="1:19" x14ac:dyDescent="0.25">
      <c r="A1025" s="1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</row>
    <row r="1026" spans="1:19" x14ac:dyDescent="0.25">
      <c r="A1026" s="1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</row>
    <row r="1027" spans="1:19" x14ac:dyDescent="0.25">
      <c r="A1027" s="1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</row>
    <row r="1028" spans="1:19" x14ac:dyDescent="0.25">
      <c r="A1028" s="1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</row>
    <row r="1029" spans="1:19" x14ac:dyDescent="0.25">
      <c r="A1029" s="1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</row>
    <row r="1030" spans="1:19" x14ac:dyDescent="0.25">
      <c r="A1030" s="1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</row>
    <row r="1031" spans="1:19" x14ac:dyDescent="0.25">
      <c r="A1031" s="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</row>
    <row r="1032" spans="1:19" x14ac:dyDescent="0.25">
      <c r="A1032" s="1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</row>
    <row r="1033" spans="1:19" x14ac:dyDescent="0.25">
      <c r="A1033" s="1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</row>
    <row r="1034" spans="1:19" x14ac:dyDescent="0.25">
      <c r="A1034" s="1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</row>
    <row r="1035" spans="1:19" x14ac:dyDescent="0.25">
      <c r="A1035" s="1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</row>
    <row r="1036" spans="1:19" x14ac:dyDescent="0.25">
      <c r="A1036" s="1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</row>
    <row r="1037" spans="1:19" x14ac:dyDescent="0.25">
      <c r="A1037" s="1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</row>
    <row r="1038" spans="1:19" x14ac:dyDescent="0.25">
      <c r="A1038" s="1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</row>
    <row r="1039" spans="1:19" x14ac:dyDescent="0.25">
      <c r="A1039" s="1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</row>
    <row r="1040" spans="1:19" x14ac:dyDescent="0.25">
      <c r="A1040" s="1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</row>
    <row r="1041" spans="1:19" x14ac:dyDescent="0.25">
      <c r="A1041" s="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</row>
    <row r="1042" spans="1:19" x14ac:dyDescent="0.25">
      <c r="A1042" s="1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</row>
    <row r="1043" spans="1:19" x14ac:dyDescent="0.25">
      <c r="A1043" s="1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</row>
    <row r="1044" spans="1:19" x14ac:dyDescent="0.25">
      <c r="A1044" s="1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</row>
    <row r="1045" spans="1:19" x14ac:dyDescent="0.25">
      <c r="A1045" s="1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</row>
    <row r="1046" spans="1:19" x14ac:dyDescent="0.25">
      <c r="A1046" s="1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</row>
    <row r="1047" spans="1:19" x14ac:dyDescent="0.25">
      <c r="A1047" s="1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</row>
    <row r="1048" spans="1:19" x14ac:dyDescent="0.25">
      <c r="A1048" s="1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</row>
    <row r="1049" spans="1:19" x14ac:dyDescent="0.25">
      <c r="A1049" s="1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</row>
    <row r="1050" spans="1:19" x14ac:dyDescent="0.25">
      <c r="A1050" s="1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</row>
    <row r="1051" spans="1:19" x14ac:dyDescent="0.25">
      <c r="A1051" s="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</row>
    <row r="1052" spans="1:19" x14ac:dyDescent="0.25">
      <c r="A1052" s="1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</row>
    <row r="1053" spans="1:19" x14ac:dyDescent="0.25">
      <c r="A1053" s="1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</row>
    <row r="1054" spans="1:19" x14ac:dyDescent="0.25">
      <c r="A1054" s="1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</row>
    <row r="1055" spans="1:19" x14ac:dyDescent="0.25">
      <c r="A1055" s="1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</row>
    <row r="1056" spans="1:19" x14ac:dyDescent="0.25">
      <c r="A1056" s="1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</row>
    <row r="1057" spans="1:19" x14ac:dyDescent="0.25">
      <c r="A1057" s="1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</row>
    <row r="1058" spans="1:19" x14ac:dyDescent="0.25">
      <c r="A1058" s="1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</row>
    <row r="1059" spans="1:19" x14ac:dyDescent="0.25">
      <c r="A1059" s="1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</row>
    <row r="1060" spans="1:19" x14ac:dyDescent="0.25">
      <c r="A1060" s="1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</row>
    <row r="1061" spans="1:19" x14ac:dyDescent="0.25">
      <c r="A1061" s="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</row>
    <row r="1062" spans="1:19" x14ac:dyDescent="0.25">
      <c r="A1062" s="1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</row>
    <row r="1063" spans="1:19" x14ac:dyDescent="0.25">
      <c r="A1063" s="1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</row>
    <row r="1064" spans="1:19" x14ac:dyDescent="0.25">
      <c r="A1064" s="1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</row>
    <row r="1065" spans="1:19" x14ac:dyDescent="0.25">
      <c r="A1065" s="1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</row>
    <row r="1066" spans="1:19" x14ac:dyDescent="0.25">
      <c r="A1066" s="1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</row>
    <row r="1067" spans="1:19" x14ac:dyDescent="0.25">
      <c r="A1067" s="1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</row>
    <row r="1068" spans="1:19" x14ac:dyDescent="0.25">
      <c r="A1068" s="1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</row>
    <row r="1069" spans="1:19" x14ac:dyDescent="0.25">
      <c r="A1069" s="1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</row>
    <row r="1070" spans="1:19" x14ac:dyDescent="0.25">
      <c r="A1070" s="1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</row>
    <row r="1071" spans="1:19" x14ac:dyDescent="0.25">
      <c r="A1071" s="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</row>
    <row r="1072" spans="1:19" x14ac:dyDescent="0.25">
      <c r="A1072" s="1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</row>
    <row r="1073" spans="1:19" x14ac:dyDescent="0.25">
      <c r="A1073" s="1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</row>
    <row r="1074" spans="1:19" x14ac:dyDescent="0.25">
      <c r="A1074" s="1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</row>
    <row r="1075" spans="1:19" x14ac:dyDescent="0.25">
      <c r="A1075" s="1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</row>
    <row r="1076" spans="1:19" x14ac:dyDescent="0.25">
      <c r="A1076" s="1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</row>
    <row r="1077" spans="1:19" x14ac:dyDescent="0.25">
      <c r="A1077" s="1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</row>
    <row r="1078" spans="1:19" x14ac:dyDescent="0.25">
      <c r="A1078" s="1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</row>
    <row r="1079" spans="1:19" x14ac:dyDescent="0.25">
      <c r="A1079" s="1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</row>
    <row r="1080" spans="1:19" x14ac:dyDescent="0.25">
      <c r="A1080" s="1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</row>
    <row r="1081" spans="1:19" x14ac:dyDescent="0.25">
      <c r="A1081" s="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</row>
    <row r="1082" spans="1:19" x14ac:dyDescent="0.25">
      <c r="A1082" s="1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</row>
    <row r="1083" spans="1:19" x14ac:dyDescent="0.25">
      <c r="A1083" s="1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</row>
    <row r="1084" spans="1:19" x14ac:dyDescent="0.25">
      <c r="A1084" s="1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</row>
    <row r="1085" spans="1:19" x14ac:dyDescent="0.25">
      <c r="A1085" s="1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</row>
    <row r="1086" spans="1:19" x14ac:dyDescent="0.25">
      <c r="A1086" s="1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</row>
    <row r="1087" spans="1:19" x14ac:dyDescent="0.25">
      <c r="A1087" s="1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</row>
    <row r="1088" spans="1:19" x14ac:dyDescent="0.25">
      <c r="A1088" s="1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</row>
    <row r="1089" spans="1:19" x14ac:dyDescent="0.25">
      <c r="A1089" s="1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</row>
    <row r="1090" spans="1:19" x14ac:dyDescent="0.25">
      <c r="A1090" s="1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</row>
    <row r="1091" spans="1:19" x14ac:dyDescent="0.25">
      <c r="A1091" s="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</row>
    <row r="1092" spans="1:19" x14ac:dyDescent="0.25">
      <c r="A1092" s="1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</row>
    <row r="1093" spans="1:19" x14ac:dyDescent="0.25">
      <c r="A1093" s="1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</row>
    <row r="1094" spans="1:19" x14ac:dyDescent="0.25">
      <c r="A1094" s="1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</row>
    <row r="1095" spans="1:19" x14ac:dyDescent="0.25">
      <c r="A1095" s="1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</row>
    <row r="1096" spans="1:19" x14ac:dyDescent="0.25">
      <c r="A1096" s="1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</row>
    <row r="1097" spans="1:19" x14ac:dyDescent="0.25">
      <c r="A1097" s="1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</row>
    <row r="1098" spans="1:19" x14ac:dyDescent="0.25">
      <c r="A1098" s="1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</row>
    <row r="1099" spans="1:19" x14ac:dyDescent="0.25">
      <c r="A1099" s="1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</row>
    <row r="1100" spans="1:19" x14ac:dyDescent="0.25">
      <c r="A1100" s="1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</row>
    <row r="1101" spans="1:19" x14ac:dyDescent="0.25">
      <c r="A1101" s="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</row>
    <row r="1102" spans="1:19" x14ac:dyDescent="0.25">
      <c r="A1102" s="1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</row>
    <row r="1103" spans="1:19" x14ac:dyDescent="0.25">
      <c r="A1103" s="1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</row>
    <row r="1104" spans="1:19" x14ac:dyDescent="0.25">
      <c r="A1104" s="1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</row>
    <row r="1105" spans="1:19" x14ac:dyDescent="0.25">
      <c r="A1105" s="1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</row>
    <row r="1106" spans="1:19" x14ac:dyDescent="0.25">
      <c r="A1106" s="1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</row>
    <row r="1107" spans="1:19" x14ac:dyDescent="0.25">
      <c r="A1107" s="1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</row>
    <row r="1108" spans="1:19" x14ac:dyDescent="0.25">
      <c r="A1108" s="1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</row>
    <row r="1109" spans="1:19" x14ac:dyDescent="0.25">
      <c r="A1109" s="1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</row>
    <row r="1110" spans="1:19" x14ac:dyDescent="0.25">
      <c r="A1110" s="1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</row>
    <row r="1111" spans="1:19" x14ac:dyDescent="0.25">
      <c r="A1111" s="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</row>
    <row r="1112" spans="1:19" x14ac:dyDescent="0.25">
      <c r="A1112" s="1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</row>
    <row r="1113" spans="1:19" x14ac:dyDescent="0.25">
      <c r="A1113" s="1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</row>
    <row r="1114" spans="1:19" x14ac:dyDescent="0.25">
      <c r="A1114" s="1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</row>
    <row r="1115" spans="1:19" x14ac:dyDescent="0.25">
      <c r="A1115" s="1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</row>
    <row r="1116" spans="1:19" x14ac:dyDescent="0.25">
      <c r="A1116" s="1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</row>
    <row r="1117" spans="1:19" x14ac:dyDescent="0.25">
      <c r="A1117" s="1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</row>
    <row r="1118" spans="1:19" x14ac:dyDescent="0.25">
      <c r="A1118" s="1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</row>
    <row r="1119" spans="1:19" x14ac:dyDescent="0.25">
      <c r="A1119" s="1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</row>
    <row r="1120" spans="1:19" x14ac:dyDescent="0.25">
      <c r="A1120" s="1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</row>
    <row r="1121" spans="1:19" x14ac:dyDescent="0.25">
      <c r="A1121" s="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</row>
    <row r="1122" spans="1:19" x14ac:dyDescent="0.25">
      <c r="A1122" s="1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</row>
    <row r="1123" spans="1:19" x14ac:dyDescent="0.25">
      <c r="A1123" s="1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</row>
    <row r="1124" spans="1:19" x14ac:dyDescent="0.25">
      <c r="A1124" s="1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</row>
    <row r="1125" spans="1:19" x14ac:dyDescent="0.25">
      <c r="A1125" s="1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</row>
    <row r="1126" spans="1:19" x14ac:dyDescent="0.25">
      <c r="A1126" s="1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</row>
    <row r="1127" spans="1:19" x14ac:dyDescent="0.25">
      <c r="A1127" s="1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</row>
    <row r="1128" spans="1:19" x14ac:dyDescent="0.25">
      <c r="A1128" s="1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</row>
    <row r="1129" spans="1:19" x14ac:dyDescent="0.25">
      <c r="A1129" s="1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</row>
    <row r="1130" spans="1:19" x14ac:dyDescent="0.25">
      <c r="A1130" s="1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</row>
    <row r="1131" spans="1:19" x14ac:dyDescent="0.25">
      <c r="A1131" s="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</row>
    <row r="1132" spans="1:19" x14ac:dyDescent="0.25">
      <c r="A1132" s="1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</row>
    <row r="1133" spans="1:19" x14ac:dyDescent="0.25">
      <c r="A1133" s="1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</row>
    <row r="1134" spans="1:19" x14ac:dyDescent="0.25">
      <c r="A1134" s="1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</row>
    <row r="1135" spans="1:19" x14ac:dyDescent="0.25">
      <c r="A1135" s="1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</row>
    <row r="1136" spans="1:19" x14ac:dyDescent="0.25">
      <c r="A1136" s="1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</row>
    <row r="1137" spans="1:19" x14ac:dyDescent="0.25">
      <c r="A1137" s="1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</row>
    <row r="1138" spans="1:19" x14ac:dyDescent="0.25">
      <c r="A1138" s="1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</row>
    <row r="1139" spans="1:19" x14ac:dyDescent="0.25">
      <c r="A1139" s="1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</row>
    <row r="1140" spans="1:19" x14ac:dyDescent="0.25">
      <c r="A1140" s="1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</row>
    <row r="1141" spans="1:19" x14ac:dyDescent="0.25">
      <c r="A1141" s="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</row>
    <row r="1142" spans="1:19" x14ac:dyDescent="0.25">
      <c r="A1142" s="1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</row>
    <row r="1143" spans="1:19" x14ac:dyDescent="0.25">
      <c r="A1143" s="1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</row>
    <row r="1144" spans="1:19" x14ac:dyDescent="0.25">
      <c r="A1144" s="1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</row>
    <row r="1145" spans="1:19" x14ac:dyDescent="0.25">
      <c r="A1145" s="1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</row>
    <row r="1146" spans="1:19" x14ac:dyDescent="0.25">
      <c r="A1146" s="1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</row>
    <row r="1147" spans="1:19" x14ac:dyDescent="0.25">
      <c r="A1147" s="1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</row>
    <row r="1148" spans="1:19" x14ac:dyDescent="0.25">
      <c r="A1148" s="1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</row>
    <row r="1149" spans="1:19" x14ac:dyDescent="0.25">
      <c r="A1149" s="1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</row>
    <row r="1150" spans="1:19" x14ac:dyDescent="0.25">
      <c r="A1150" s="1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</row>
    <row r="1151" spans="1:19" x14ac:dyDescent="0.25">
      <c r="A1151" s="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</row>
    <row r="1152" spans="1:19" x14ac:dyDescent="0.25">
      <c r="A1152" s="1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</row>
    <row r="1153" spans="1:19" x14ac:dyDescent="0.25">
      <c r="A1153" s="1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</row>
    <row r="1154" spans="1:19" x14ac:dyDescent="0.25">
      <c r="A1154" s="1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</row>
    <row r="1155" spans="1:19" x14ac:dyDescent="0.25">
      <c r="A1155" s="1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</row>
    <row r="1156" spans="1:19" x14ac:dyDescent="0.25">
      <c r="A1156" s="1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</row>
    <row r="1157" spans="1:19" x14ac:dyDescent="0.25">
      <c r="A1157" s="1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</row>
    <row r="1158" spans="1:19" x14ac:dyDescent="0.25">
      <c r="A1158" s="1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</row>
    <row r="1159" spans="1:19" x14ac:dyDescent="0.25">
      <c r="A1159" s="1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</row>
    <row r="1160" spans="1:19" x14ac:dyDescent="0.25">
      <c r="A1160" s="1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</row>
    <row r="1161" spans="1:19" x14ac:dyDescent="0.25">
      <c r="A1161" s="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</row>
    <row r="1162" spans="1:19" x14ac:dyDescent="0.25">
      <c r="A1162" s="1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</row>
    <row r="1163" spans="1:19" x14ac:dyDescent="0.25">
      <c r="A1163" s="1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</row>
    <row r="1164" spans="1:19" x14ac:dyDescent="0.25">
      <c r="A1164" s="1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</row>
    <row r="1165" spans="1:19" x14ac:dyDescent="0.25">
      <c r="A1165" s="1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</row>
    <row r="1166" spans="1:19" x14ac:dyDescent="0.25">
      <c r="A1166" s="1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</row>
    <row r="1167" spans="1:19" x14ac:dyDescent="0.25">
      <c r="A1167" s="1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</row>
    <row r="1168" spans="1:19" x14ac:dyDescent="0.25">
      <c r="A1168" s="1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</row>
    <row r="1169" spans="1:19" x14ac:dyDescent="0.25">
      <c r="A1169" s="1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</row>
    <row r="1170" spans="1:19" x14ac:dyDescent="0.25">
      <c r="A1170" s="1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</row>
    <row r="1171" spans="1:19" x14ac:dyDescent="0.25">
      <c r="A1171" s="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</row>
    <row r="1172" spans="1:19" x14ac:dyDescent="0.25">
      <c r="A1172" s="1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</row>
    <row r="1173" spans="1:19" x14ac:dyDescent="0.25">
      <c r="A1173" s="1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</row>
    <row r="1174" spans="1:19" x14ac:dyDescent="0.25">
      <c r="A1174" s="1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</row>
    <row r="1175" spans="1:19" x14ac:dyDescent="0.25">
      <c r="A1175" s="1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</row>
    <row r="1176" spans="1:19" x14ac:dyDescent="0.25">
      <c r="A1176" s="1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</row>
    <row r="1177" spans="1:19" x14ac:dyDescent="0.25">
      <c r="A1177" s="1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</row>
    <row r="1178" spans="1:19" x14ac:dyDescent="0.25">
      <c r="A1178" s="1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</row>
    <row r="1179" spans="1:19" x14ac:dyDescent="0.25">
      <c r="A1179" s="1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</row>
    <row r="1180" spans="1:19" x14ac:dyDescent="0.25">
      <c r="A1180" s="1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</row>
    <row r="1181" spans="1:19" x14ac:dyDescent="0.25">
      <c r="A1181" s="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</row>
    <row r="1182" spans="1:19" x14ac:dyDescent="0.25">
      <c r="A1182" s="1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</row>
    <row r="1183" spans="1:19" x14ac:dyDescent="0.25">
      <c r="A1183" s="1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</row>
    <row r="1184" spans="1:19" x14ac:dyDescent="0.25">
      <c r="A1184" s="1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</row>
    <row r="1185" spans="1:19" x14ac:dyDescent="0.25">
      <c r="A1185" s="1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</row>
    <row r="1186" spans="1:19" x14ac:dyDescent="0.25">
      <c r="A1186" s="1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</row>
    <row r="1187" spans="1:19" x14ac:dyDescent="0.25">
      <c r="A1187" s="1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</row>
    <row r="1188" spans="1:19" x14ac:dyDescent="0.25">
      <c r="A1188" s="1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</row>
    <row r="1189" spans="1:19" x14ac:dyDescent="0.25">
      <c r="A1189" s="1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</row>
    <row r="1190" spans="1:19" x14ac:dyDescent="0.25">
      <c r="A1190" s="1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</row>
    <row r="1191" spans="1:19" x14ac:dyDescent="0.25">
      <c r="A1191" s="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</row>
    <row r="1192" spans="1:19" x14ac:dyDescent="0.25">
      <c r="A1192" s="1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</row>
    <row r="1193" spans="1:19" x14ac:dyDescent="0.25">
      <c r="A1193" s="1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</row>
    <row r="1194" spans="1:19" x14ac:dyDescent="0.25">
      <c r="A1194" s="1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</row>
    <row r="1195" spans="1:19" x14ac:dyDescent="0.25">
      <c r="A1195" s="1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</row>
    <row r="1196" spans="1:19" x14ac:dyDescent="0.25">
      <c r="A1196" s="1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</row>
    <row r="1197" spans="1:19" x14ac:dyDescent="0.25">
      <c r="A1197" s="1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</row>
    <row r="1198" spans="1:19" x14ac:dyDescent="0.25">
      <c r="A1198" s="1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</row>
    <row r="1199" spans="1:19" x14ac:dyDescent="0.25">
      <c r="A1199" s="1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</row>
    <row r="1200" spans="1:19" x14ac:dyDescent="0.25">
      <c r="A1200" s="1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</row>
    <row r="1201" spans="1:19" x14ac:dyDescent="0.25">
      <c r="A1201" s="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</row>
    <row r="1202" spans="1:19" x14ac:dyDescent="0.25">
      <c r="A1202" s="1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</row>
    <row r="1203" spans="1:19" x14ac:dyDescent="0.25">
      <c r="A1203" s="1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</row>
    <row r="1204" spans="1:19" x14ac:dyDescent="0.25">
      <c r="A1204" s="1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</row>
    <row r="1205" spans="1:19" x14ac:dyDescent="0.25">
      <c r="A1205" s="1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</row>
    <row r="1206" spans="1:19" x14ac:dyDescent="0.25">
      <c r="A1206" s="1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</row>
    <row r="1207" spans="1:19" x14ac:dyDescent="0.25">
      <c r="A1207" s="1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</row>
    <row r="1208" spans="1:19" x14ac:dyDescent="0.25">
      <c r="A1208" s="1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</row>
    <row r="1209" spans="1:19" x14ac:dyDescent="0.25">
      <c r="A1209" s="1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</row>
    <row r="1210" spans="1:19" x14ac:dyDescent="0.25">
      <c r="A1210" s="1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</row>
    <row r="1211" spans="1:19" x14ac:dyDescent="0.25">
      <c r="A1211" s="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</row>
    <row r="1212" spans="1:19" x14ac:dyDescent="0.25">
      <c r="A1212" s="1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</row>
    <row r="1213" spans="1:19" x14ac:dyDescent="0.25">
      <c r="A1213" s="1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</row>
    <row r="1214" spans="1:19" x14ac:dyDescent="0.25">
      <c r="A1214" s="1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</row>
    <row r="1215" spans="1:19" x14ac:dyDescent="0.25">
      <c r="A1215" s="1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</row>
    <row r="1216" spans="1:19" x14ac:dyDescent="0.25">
      <c r="A1216" s="1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</row>
    <row r="1217" spans="1:19" x14ac:dyDescent="0.25">
      <c r="A1217" s="1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</row>
    <row r="1218" spans="1:19" x14ac:dyDescent="0.25">
      <c r="A1218" s="1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</row>
    <row r="1219" spans="1:19" x14ac:dyDescent="0.25">
      <c r="A1219" s="1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</row>
    <row r="1220" spans="1:19" x14ac:dyDescent="0.25">
      <c r="A1220" s="1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</row>
    <row r="1221" spans="1:19" x14ac:dyDescent="0.25">
      <c r="A1221" s="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</row>
    <row r="1222" spans="1:19" x14ac:dyDescent="0.25">
      <c r="A1222" s="1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</row>
    <row r="1223" spans="1:19" x14ac:dyDescent="0.25">
      <c r="A1223" s="1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</row>
    <row r="1224" spans="1:19" x14ac:dyDescent="0.25">
      <c r="A1224" s="1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</row>
    <row r="1225" spans="1:19" x14ac:dyDescent="0.25">
      <c r="A1225" s="1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</row>
    <row r="1226" spans="1:19" x14ac:dyDescent="0.25">
      <c r="A1226" s="1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</row>
    <row r="1227" spans="1:19" x14ac:dyDescent="0.25">
      <c r="A1227" s="1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</row>
    <row r="1228" spans="1:19" x14ac:dyDescent="0.25">
      <c r="A1228" s="1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</row>
    <row r="1229" spans="1:19" x14ac:dyDescent="0.25">
      <c r="A1229" s="1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</row>
    <row r="1230" spans="1:19" x14ac:dyDescent="0.25">
      <c r="A1230" s="1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</row>
    <row r="1231" spans="1:19" x14ac:dyDescent="0.25">
      <c r="A1231" s="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</row>
    <row r="1232" spans="1:19" x14ac:dyDescent="0.25">
      <c r="A1232" s="1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</row>
    <row r="1233" spans="1:19" x14ac:dyDescent="0.25">
      <c r="A1233" s="1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</row>
    <row r="1234" spans="1:19" x14ac:dyDescent="0.25">
      <c r="A1234" s="1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</row>
    <row r="1235" spans="1:19" x14ac:dyDescent="0.25">
      <c r="A1235" s="1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</row>
    <row r="1236" spans="1:19" x14ac:dyDescent="0.25">
      <c r="A1236" s="1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</row>
    <row r="1237" spans="1:19" x14ac:dyDescent="0.25">
      <c r="A1237" s="1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</row>
    <row r="1238" spans="1:19" x14ac:dyDescent="0.25">
      <c r="A1238" s="1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</row>
    <row r="1239" spans="1:19" x14ac:dyDescent="0.25">
      <c r="A1239" s="1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</row>
    <row r="1240" spans="1:19" x14ac:dyDescent="0.25">
      <c r="A1240" s="1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</row>
    <row r="1241" spans="1:19" x14ac:dyDescent="0.25">
      <c r="A1241" s="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</row>
    <row r="1242" spans="1:19" x14ac:dyDescent="0.25">
      <c r="A1242" s="1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</row>
    <row r="1243" spans="1:19" x14ac:dyDescent="0.25">
      <c r="A1243" s="1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</row>
    <row r="1244" spans="1:19" x14ac:dyDescent="0.25">
      <c r="A1244" s="1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</row>
    <row r="1245" spans="1:19" x14ac:dyDescent="0.25">
      <c r="A1245" s="1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</row>
    <row r="1246" spans="1:19" x14ac:dyDescent="0.25">
      <c r="A1246" s="1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</row>
    <row r="1247" spans="1:19" x14ac:dyDescent="0.25">
      <c r="A1247" s="1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</row>
    <row r="1248" spans="1:19" x14ac:dyDescent="0.25">
      <c r="A1248" s="1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</row>
    <row r="1249" spans="1:19" x14ac:dyDescent="0.25">
      <c r="A1249" s="1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</row>
    <row r="1250" spans="1:19" x14ac:dyDescent="0.25">
      <c r="A1250" s="1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</row>
    <row r="1251" spans="1:19" x14ac:dyDescent="0.25">
      <c r="A1251" s="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</row>
    <row r="1252" spans="1:19" x14ac:dyDescent="0.25">
      <c r="A1252" s="1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</row>
    <row r="1253" spans="1:19" x14ac:dyDescent="0.25">
      <c r="A1253" s="1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</row>
    <row r="1254" spans="1:19" x14ac:dyDescent="0.25">
      <c r="A1254" s="1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</row>
    <row r="1255" spans="1:19" x14ac:dyDescent="0.25">
      <c r="A1255" s="1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</row>
    <row r="1256" spans="1:19" x14ac:dyDescent="0.25">
      <c r="A1256" s="1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</row>
    <row r="1257" spans="1:19" x14ac:dyDescent="0.25">
      <c r="A1257" s="1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</row>
    <row r="1258" spans="1:19" x14ac:dyDescent="0.25">
      <c r="A1258" s="1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</row>
    <row r="1259" spans="1:19" x14ac:dyDescent="0.25">
      <c r="A1259" s="1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</row>
    <row r="1260" spans="1:19" x14ac:dyDescent="0.25">
      <c r="A1260" s="1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</row>
    <row r="1261" spans="1:19" x14ac:dyDescent="0.25">
      <c r="A1261" s="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</row>
    <row r="1262" spans="1:19" x14ac:dyDescent="0.25">
      <c r="A1262" s="1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</row>
    <row r="1263" spans="1:19" x14ac:dyDescent="0.25">
      <c r="A1263" s="1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</row>
    <row r="1264" spans="1:19" x14ac:dyDescent="0.25">
      <c r="A1264" s="1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</row>
    <row r="1265" spans="1:19" x14ac:dyDescent="0.25">
      <c r="A1265" s="1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</row>
    <row r="1266" spans="1:19" x14ac:dyDescent="0.25">
      <c r="A1266" s="1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</row>
    <row r="1267" spans="1:19" x14ac:dyDescent="0.25">
      <c r="A1267" s="1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</row>
    <row r="1268" spans="1:19" x14ac:dyDescent="0.25">
      <c r="A1268" s="1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</row>
    <row r="1269" spans="1:19" x14ac:dyDescent="0.25">
      <c r="A1269" s="1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</row>
    <row r="1270" spans="1:19" x14ac:dyDescent="0.25">
      <c r="A1270" s="1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</row>
    <row r="1271" spans="1:19" x14ac:dyDescent="0.25">
      <c r="A1271" s="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</row>
    <row r="1272" spans="1:19" x14ac:dyDescent="0.25">
      <c r="A1272" s="1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</row>
    <row r="1273" spans="1:19" x14ac:dyDescent="0.25">
      <c r="A1273" s="1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</row>
    <row r="1274" spans="1:19" x14ac:dyDescent="0.25">
      <c r="A1274" s="1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</row>
    <row r="1275" spans="1:19" x14ac:dyDescent="0.25">
      <c r="A1275" s="1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</row>
    <row r="1276" spans="1:19" x14ac:dyDescent="0.25">
      <c r="A1276" s="1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</row>
    <row r="1277" spans="1:19" x14ac:dyDescent="0.25">
      <c r="A1277" s="1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</row>
    <row r="1278" spans="1:19" x14ac:dyDescent="0.25">
      <c r="A1278" s="1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</row>
    <row r="1279" spans="1:19" x14ac:dyDescent="0.25">
      <c r="A1279" s="1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</row>
    <row r="1280" spans="1:19" x14ac:dyDescent="0.25">
      <c r="A1280" s="1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</row>
    <row r="1281" spans="1:19" x14ac:dyDescent="0.25">
      <c r="A1281" s="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</row>
    <row r="1282" spans="1:19" x14ac:dyDescent="0.25">
      <c r="A1282" s="1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</row>
    <row r="1283" spans="1:19" x14ac:dyDescent="0.25">
      <c r="A1283" s="1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</row>
    <row r="1284" spans="1:19" x14ac:dyDescent="0.25">
      <c r="A1284" s="1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</row>
    <row r="1285" spans="1:19" x14ac:dyDescent="0.25">
      <c r="A1285" s="1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</row>
    <row r="1286" spans="1:19" x14ac:dyDescent="0.25">
      <c r="A1286" s="1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</row>
    <row r="1287" spans="1:19" x14ac:dyDescent="0.25">
      <c r="A1287" s="1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</row>
    <row r="1288" spans="1:19" x14ac:dyDescent="0.25">
      <c r="A1288" s="1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</row>
    <row r="1289" spans="1:19" x14ac:dyDescent="0.25">
      <c r="A1289" s="1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</row>
    <row r="1290" spans="1:19" x14ac:dyDescent="0.25">
      <c r="A1290" s="1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</row>
    <row r="1291" spans="1:19" x14ac:dyDescent="0.25">
      <c r="A1291" s="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</row>
    <row r="1292" spans="1:19" x14ac:dyDescent="0.25">
      <c r="A1292" s="1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</row>
    <row r="1293" spans="1:19" x14ac:dyDescent="0.25">
      <c r="A1293" s="1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</row>
    <row r="1294" spans="1:19" x14ac:dyDescent="0.25">
      <c r="A1294" s="1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</row>
    <row r="1295" spans="1:19" x14ac:dyDescent="0.25">
      <c r="A1295" s="1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</row>
    <row r="1296" spans="1:19" x14ac:dyDescent="0.25">
      <c r="A1296" s="1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</row>
    <row r="1297" spans="1:19" x14ac:dyDescent="0.25">
      <c r="A1297" s="1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</row>
    <row r="1298" spans="1:19" x14ac:dyDescent="0.25">
      <c r="A1298" s="1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</row>
    <row r="1299" spans="1:19" x14ac:dyDescent="0.25">
      <c r="A1299" s="1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</row>
    <row r="1300" spans="1:19" x14ac:dyDescent="0.25">
      <c r="A1300" s="1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</row>
    <row r="1301" spans="1:19" x14ac:dyDescent="0.25">
      <c r="A1301" s="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</row>
    <row r="1302" spans="1:19" x14ac:dyDescent="0.25">
      <c r="A1302" s="1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</row>
    <row r="1303" spans="1:19" x14ac:dyDescent="0.25">
      <c r="A1303" s="1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</row>
    <row r="1304" spans="1:19" x14ac:dyDescent="0.25">
      <c r="A1304" s="1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</row>
    <row r="1305" spans="1:19" x14ac:dyDescent="0.25">
      <c r="A1305" s="1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</row>
    <row r="1306" spans="1:19" x14ac:dyDescent="0.25">
      <c r="A1306" s="1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</row>
    <row r="1307" spans="1:19" x14ac:dyDescent="0.25">
      <c r="A1307" s="1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</row>
    <row r="1308" spans="1:19" x14ac:dyDescent="0.25">
      <c r="A1308" s="1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</row>
    <row r="1309" spans="1:19" x14ac:dyDescent="0.25">
      <c r="A1309" s="1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</row>
    <row r="1310" spans="1:19" x14ac:dyDescent="0.25">
      <c r="A1310" s="1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</row>
    <row r="1311" spans="1:19" x14ac:dyDescent="0.25">
      <c r="A1311" s="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</row>
    <row r="1312" spans="1:19" x14ac:dyDescent="0.25">
      <c r="A1312" s="1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</row>
    <row r="1313" spans="1:19" x14ac:dyDescent="0.25">
      <c r="A1313" s="1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</row>
    <row r="1314" spans="1:19" x14ac:dyDescent="0.25">
      <c r="A1314" s="1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</row>
    <row r="1315" spans="1:19" x14ac:dyDescent="0.25">
      <c r="A1315" s="1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</row>
    <row r="1316" spans="1:19" x14ac:dyDescent="0.25">
      <c r="A1316" s="1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</row>
    <row r="1317" spans="1:19" x14ac:dyDescent="0.25">
      <c r="A1317" s="1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</row>
    <row r="1318" spans="1:19" x14ac:dyDescent="0.25">
      <c r="A1318" s="1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</row>
    <row r="1319" spans="1:19" x14ac:dyDescent="0.25">
      <c r="A1319" s="1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</row>
    <row r="1320" spans="1:19" x14ac:dyDescent="0.25">
      <c r="A1320" s="1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</row>
    <row r="1321" spans="1:19" x14ac:dyDescent="0.25">
      <c r="A1321" s="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</row>
    <row r="1322" spans="1:19" x14ac:dyDescent="0.25">
      <c r="A1322" s="1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</row>
    <row r="1323" spans="1:19" x14ac:dyDescent="0.25">
      <c r="A1323" s="1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</row>
    <row r="1324" spans="1:19" x14ac:dyDescent="0.25">
      <c r="A1324" s="1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</row>
    <row r="1325" spans="1:19" x14ac:dyDescent="0.25">
      <c r="A1325" s="1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</row>
    <row r="1326" spans="1:19" x14ac:dyDescent="0.25">
      <c r="A1326" s="1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</row>
    <row r="1327" spans="1:19" x14ac:dyDescent="0.25">
      <c r="A1327" s="1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</row>
    <row r="1328" spans="1:19" x14ac:dyDescent="0.25">
      <c r="A1328" s="1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</row>
    <row r="1329" spans="1:19" x14ac:dyDescent="0.25">
      <c r="A1329" s="1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</row>
    <row r="1330" spans="1:19" x14ac:dyDescent="0.25">
      <c r="A1330" s="1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</row>
    <row r="1331" spans="1:19" x14ac:dyDescent="0.25">
      <c r="A1331" s="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</row>
    <row r="1332" spans="1:19" x14ac:dyDescent="0.25">
      <c r="A1332" s="1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</row>
    <row r="1333" spans="1:19" x14ac:dyDescent="0.25">
      <c r="A1333" s="1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</row>
    <row r="1334" spans="1:19" x14ac:dyDescent="0.25">
      <c r="A1334" s="1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</row>
    <row r="1335" spans="1:19" x14ac:dyDescent="0.25">
      <c r="A1335" s="1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</row>
    <row r="1336" spans="1:19" x14ac:dyDescent="0.25">
      <c r="A1336" s="1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</row>
    <row r="1337" spans="1:19" x14ac:dyDescent="0.25">
      <c r="A1337" s="1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</row>
    <row r="1338" spans="1:19" x14ac:dyDescent="0.25">
      <c r="A1338" s="1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</row>
    <row r="1339" spans="1:19" x14ac:dyDescent="0.25">
      <c r="A1339" s="1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</row>
    <row r="1340" spans="1:19" x14ac:dyDescent="0.25">
      <c r="A1340" s="1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</row>
    <row r="1341" spans="1:19" x14ac:dyDescent="0.25">
      <c r="A1341" s="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</row>
    <row r="1342" spans="1:19" x14ac:dyDescent="0.25">
      <c r="A1342" s="1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</row>
    <row r="1343" spans="1:19" x14ac:dyDescent="0.25">
      <c r="A1343" s="1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</row>
    <row r="1344" spans="1:19" x14ac:dyDescent="0.25">
      <c r="A1344" s="1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</row>
    <row r="1345" spans="1:19" x14ac:dyDescent="0.25">
      <c r="A1345" s="1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</row>
    <row r="1346" spans="1:19" x14ac:dyDescent="0.25">
      <c r="A1346" s="1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</row>
    <row r="1347" spans="1:19" x14ac:dyDescent="0.25">
      <c r="A1347" s="1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</row>
    <row r="1348" spans="1:19" x14ac:dyDescent="0.25">
      <c r="A1348" s="1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</row>
    <row r="1349" spans="1:19" x14ac:dyDescent="0.25">
      <c r="A1349" s="1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</row>
    <row r="1350" spans="1:19" x14ac:dyDescent="0.25">
      <c r="A1350" s="1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</row>
    <row r="1351" spans="1:19" x14ac:dyDescent="0.25">
      <c r="A1351" s="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</row>
    <row r="1352" spans="1:19" x14ac:dyDescent="0.25">
      <c r="A1352" s="1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</row>
    <row r="1353" spans="1:19" x14ac:dyDescent="0.25">
      <c r="A1353" s="1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</row>
    <row r="1354" spans="1:19" x14ac:dyDescent="0.25">
      <c r="A1354" s="1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</row>
    <row r="1355" spans="1:19" x14ac:dyDescent="0.25">
      <c r="A1355" s="1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</row>
    <row r="1356" spans="1:19" x14ac:dyDescent="0.25">
      <c r="A1356" s="1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</row>
    <row r="1357" spans="1:19" x14ac:dyDescent="0.25">
      <c r="A1357" s="1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</row>
    <row r="1358" spans="1:19" x14ac:dyDescent="0.25">
      <c r="A1358" s="1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</row>
    <row r="1359" spans="1:19" x14ac:dyDescent="0.25">
      <c r="A1359" s="1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</row>
    <row r="1360" spans="1:19" x14ac:dyDescent="0.25">
      <c r="A1360" s="1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</row>
    <row r="1361" spans="1:19" x14ac:dyDescent="0.25">
      <c r="A1361" s="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</row>
    <row r="1362" spans="1:19" x14ac:dyDescent="0.25">
      <c r="A1362" s="1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</row>
    <row r="1363" spans="1:19" x14ac:dyDescent="0.25">
      <c r="A1363" s="1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</row>
    <row r="1364" spans="1:19" x14ac:dyDescent="0.25">
      <c r="A1364" s="1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</row>
    <row r="1365" spans="1:19" x14ac:dyDescent="0.25">
      <c r="A1365" s="1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</row>
    <row r="1366" spans="1:19" x14ac:dyDescent="0.25">
      <c r="A1366" s="1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</row>
    <row r="1367" spans="1:19" x14ac:dyDescent="0.25">
      <c r="A1367" s="1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</row>
    <row r="1368" spans="1:19" x14ac:dyDescent="0.25">
      <c r="A1368" s="1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</row>
    <row r="1369" spans="1:19" x14ac:dyDescent="0.25">
      <c r="A1369" s="1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</row>
    <row r="1370" spans="1:19" x14ac:dyDescent="0.25">
      <c r="A1370" s="1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</row>
    <row r="1371" spans="1:19" x14ac:dyDescent="0.25">
      <c r="A1371" s="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</row>
    <row r="1372" spans="1:19" x14ac:dyDescent="0.25">
      <c r="A1372" s="1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</row>
    <row r="1373" spans="1:19" x14ac:dyDescent="0.25">
      <c r="A1373" s="1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</row>
    <row r="1374" spans="1:19" x14ac:dyDescent="0.25">
      <c r="A1374" s="1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</row>
    <row r="1375" spans="1:19" x14ac:dyDescent="0.25">
      <c r="A1375" s="1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</row>
    <row r="1376" spans="1:19" x14ac:dyDescent="0.25">
      <c r="A1376" s="1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</row>
    <row r="1377" spans="1:19" x14ac:dyDescent="0.25">
      <c r="A1377" s="1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</row>
    <row r="1378" spans="1:19" x14ac:dyDescent="0.25">
      <c r="A1378" s="1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</row>
    <row r="1379" spans="1:19" x14ac:dyDescent="0.25">
      <c r="A1379" s="1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</row>
    <row r="1380" spans="1:19" x14ac:dyDescent="0.25">
      <c r="A1380" s="1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</row>
    <row r="1381" spans="1:19" x14ac:dyDescent="0.25">
      <c r="A1381" s="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</row>
    <row r="1382" spans="1:19" x14ac:dyDescent="0.25">
      <c r="A1382" s="1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</row>
    <row r="1383" spans="1:19" x14ac:dyDescent="0.25">
      <c r="A1383" s="1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</row>
    <row r="1384" spans="1:19" x14ac:dyDescent="0.25">
      <c r="A1384" s="1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</row>
    <row r="1385" spans="1:19" x14ac:dyDescent="0.25">
      <c r="A1385" s="1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</row>
    <row r="1386" spans="1:19" x14ac:dyDescent="0.25">
      <c r="A1386" s="1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</row>
    <row r="1387" spans="1:19" x14ac:dyDescent="0.25">
      <c r="A1387" s="1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</row>
    <row r="1388" spans="1:19" x14ac:dyDescent="0.25">
      <c r="A1388" s="1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</row>
    <row r="1389" spans="1:19" x14ac:dyDescent="0.25">
      <c r="A1389" s="1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</row>
    <row r="1390" spans="1:19" x14ac:dyDescent="0.25">
      <c r="A1390" s="1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</row>
    <row r="1391" spans="1:19" x14ac:dyDescent="0.25">
      <c r="A1391" s="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</row>
    <row r="1392" spans="1:19" x14ac:dyDescent="0.25">
      <c r="A1392" s="1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</row>
    <row r="1393" spans="1:19" x14ac:dyDescent="0.25">
      <c r="A1393" s="1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</row>
    <row r="1394" spans="1:19" x14ac:dyDescent="0.25">
      <c r="A1394" s="1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</row>
    <row r="1395" spans="1:19" x14ac:dyDescent="0.25">
      <c r="A1395" s="1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</row>
    <row r="1396" spans="1:19" x14ac:dyDescent="0.25">
      <c r="A1396" s="1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</row>
    <row r="1397" spans="1:19" x14ac:dyDescent="0.25">
      <c r="A1397" s="1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</row>
    <row r="1398" spans="1:19" x14ac:dyDescent="0.25">
      <c r="A1398" s="1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</row>
    <row r="1399" spans="1:19" x14ac:dyDescent="0.25">
      <c r="A1399" s="1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</row>
    <row r="1400" spans="1:19" x14ac:dyDescent="0.25">
      <c r="A1400" s="1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</row>
    <row r="1401" spans="1:19" x14ac:dyDescent="0.25">
      <c r="A1401" s="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</row>
    <row r="1402" spans="1:19" x14ac:dyDescent="0.25">
      <c r="A1402" s="1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</row>
    <row r="1403" spans="1:19" x14ac:dyDescent="0.25">
      <c r="A1403" s="1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</row>
    <row r="1404" spans="1:19" x14ac:dyDescent="0.25">
      <c r="A1404" s="1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</row>
    <row r="1405" spans="1:19" x14ac:dyDescent="0.25">
      <c r="A1405" s="1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</row>
    <row r="1406" spans="1:19" x14ac:dyDescent="0.25">
      <c r="A1406" s="1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</row>
    <row r="1407" spans="1:19" x14ac:dyDescent="0.25">
      <c r="A1407" s="1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</row>
    <row r="1408" spans="1:19" x14ac:dyDescent="0.25">
      <c r="A1408" s="1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</row>
    <row r="1409" spans="1:19" x14ac:dyDescent="0.25">
      <c r="A1409" s="1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</row>
    <row r="1410" spans="1:19" x14ac:dyDescent="0.25">
      <c r="A1410" s="1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</row>
    <row r="1411" spans="1:19" x14ac:dyDescent="0.25">
      <c r="A1411" s="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</row>
    <row r="1412" spans="1:19" x14ac:dyDescent="0.25">
      <c r="A1412" s="1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</row>
    <row r="1413" spans="1:19" x14ac:dyDescent="0.25">
      <c r="A1413" s="1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</row>
    <row r="1414" spans="1:19" x14ac:dyDescent="0.25">
      <c r="A1414" s="1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</row>
    <row r="1415" spans="1:19" x14ac:dyDescent="0.25">
      <c r="A1415" s="1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</row>
    <row r="1416" spans="1:19" x14ac:dyDescent="0.25">
      <c r="A1416" s="1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</row>
    <row r="1417" spans="1:19" x14ac:dyDescent="0.25">
      <c r="A1417" s="1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</row>
    <row r="1418" spans="1:19" x14ac:dyDescent="0.25">
      <c r="A1418" s="1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</row>
    <row r="1419" spans="1:19" x14ac:dyDescent="0.25">
      <c r="A1419" s="1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</row>
    <row r="1420" spans="1:19" x14ac:dyDescent="0.25">
      <c r="A1420" s="1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</row>
    <row r="1421" spans="1:19" x14ac:dyDescent="0.25">
      <c r="A1421" s="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</row>
    <row r="1422" spans="1:19" x14ac:dyDescent="0.25">
      <c r="A1422" s="1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</row>
    <row r="1423" spans="1:19" x14ac:dyDescent="0.25">
      <c r="A1423" s="1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</row>
    <row r="1424" spans="1:19" x14ac:dyDescent="0.25">
      <c r="A1424" s="1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</row>
    <row r="1425" spans="1:19" x14ac:dyDescent="0.25">
      <c r="A1425" s="1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</row>
    <row r="1426" spans="1:19" x14ac:dyDescent="0.25">
      <c r="A1426" s="1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</row>
    <row r="1427" spans="1:19" x14ac:dyDescent="0.25">
      <c r="A1427" s="1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</row>
    <row r="1428" spans="1:19" x14ac:dyDescent="0.25">
      <c r="A1428" s="1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</row>
    <row r="1429" spans="1:19" x14ac:dyDescent="0.25">
      <c r="A1429" s="1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</row>
    <row r="1430" spans="1:19" x14ac:dyDescent="0.25">
      <c r="A1430" s="1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</row>
    <row r="1431" spans="1:19" x14ac:dyDescent="0.25">
      <c r="A1431" s="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</row>
    <row r="1432" spans="1:19" x14ac:dyDescent="0.25">
      <c r="A1432" s="1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</row>
    <row r="1433" spans="1:19" x14ac:dyDescent="0.25">
      <c r="A1433" s="1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</row>
    <row r="1434" spans="1:19" x14ac:dyDescent="0.25">
      <c r="A1434" s="1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</row>
    <row r="1435" spans="1:19" x14ac:dyDescent="0.25">
      <c r="A1435" s="1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</row>
    <row r="1436" spans="1:19" x14ac:dyDescent="0.25">
      <c r="A1436" s="1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</row>
    <row r="1437" spans="1:19" x14ac:dyDescent="0.25">
      <c r="A1437" s="1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</row>
    <row r="1438" spans="1:19" x14ac:dyDescent="0.25">
      <c r="A1438" s="1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</row>
    <row r="1439" spans="1:19" x14ac:dyDescent="0.25">
      <c r="A1439" s="1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</row>
    <row r="1440" spans="1:19" x14ac:dyDescent="0.25">
      <c r="A1440" s="1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</row>
    <row r="1441" spans="1:19" x14ac:dyDescent="0.25">
      <c r="A1441" s="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</row>
    <row r="1442" spans="1:19" x14ac:dyDescent="0.25">
      <c r="A1442" s="1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</row>
    <row r="1443" spans="1:19" x14ac:dyDescent="0.25">
      <c r="A1443" s="1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</row>
    <row r="1444" spans="1:19" x14ac:dyDescent="0.25">
      <c r="A1444" s="1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</row>
    <row r="1445" spans="1:19" x14ac:dyDescent="0.25">
      <c r="A1445" s="1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</row>
    <row r="1446" spans="1:19" x14ac:dyDescent="0.25">
      <c r="A1446" s="1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</row>
    <row r="1447" spans="1:19" x14ac:dyDescent="0.25">
      <c r="A1447" s="1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</row>
    <row r="1448" spans="1:19" x14ac:dyDescent="0.25">
      <c r="A1448" s="1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</row>
    <row r="1449" spans="1:19" x14ac:dyDescent="0.25">
      <c r="A1449" s="1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</row>
    <row r="1450" spans="1:19" x14ac:dyDescent="0.25">
      <c r="A1450" s="1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</row>
    <row r="1451" spans="1:19" x14ac:dyDescent="0.25">
      <c r="A1451" s="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</row>
    <row r="1452" spans="1:19" x14ac:dyDescent="0.25">
      <c r="A1452" s="1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</row>
    <row r="1453" spans="1:19" x14ac:dyDescent="0.25">
      <c r="A1453" s="1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</row>
    <row r="1454" spans="1:19" x14ac:dyDescent="0.25">
      <c r="A1454" s="1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</row>
    <row r="1455" spans="1:19" x14ac:dyDescent="0.25">
      <c r="A1455" s="1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</row>
    <row r="1456" spans="1:19" x14ac:dyDescent="0.25">
      <c r="A1456" s="1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</row>
    <row r="1457" spans="1:19" x14ac:dyDescent="0.25">
      <c r="A1457" s="1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</row>
    <row r="1458" spans="1:19" x14ac:dyDescent="0.25">
      <c r="A1458" s="1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</row>
    <row r="1459" spans="1:19" x14ac:dyDescent="0.25">
      <c r="A1459" s="1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</row>
    <row r="1460" spans="1:19" x14ac:dyDescent="0.25">
      <c r="A1460" s="1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</row>
    <row r="1461" spans="1:19" x14ac:dyDescent="0.25">
      <c r="A1461" s="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</row>
    <row r="1462" spans="1:19" x14ac:dyDescent="0.25">
      <c r="A1462" s="1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</row>
    <row r="1463" spans="1:19" x14ac:dyDescent="0.25">
      <c r="A1463" s="1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</row>
    <row r="1464" spans="1:19" x14ac:dyDescent="0.25">
      <c r="A1464" s="1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</row>
    <row r="1465" spans="1:19" x14ac:dyDescent="0.25">
      <c r="A1465" s="1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</row>
    <row r="1466" spans="1:19" x14ac:dyDescent="0.25">
      <c r="A1466" s="1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</row>
    <row r="1467" spans="1:19" x14ac:dyDescent="0.25">
      <c r="A1467" s="1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</row>
    <row r="1468" spans="1:19" x14ac:dyDescent="0.25">
      <c r="A1468" s="1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</row>
    <row r="1469" spans="1:19" x14ac:dyDescent="0.25">
      <c r="A1469" s="1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</row>
    <row r="1470" spans="1:19" x14ac:dyDescent="0.25">
      <c r="A1470" s="1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</row>
    <row r="1471" spans="1:19" x14ac:dyDescent="0.25">
      <c r="A1471" s="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</row>
    <row r="1472" spans="1:19" x14ac:dyDescent="0.25">
      <c r="A1472" s="1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</row>
    <row r="1473" spans="1:19" x14ac:dyDescent="0.25">
      <c r="A1473" s="1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</row>
    <row r="1474" spans="1:19" x14ac:dyDescent="0.25">
      <c r="A1474" s="1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</row>
    <row r="1475" spans="1:19" x14ac:dyDescent="0.25">
      <c r="A1475" s="1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</row>
    <row r="1476" spans="1:19" x14ac:dyDescent="0.25">
      <c r="A1476" s="1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</row>
    <row r="1477" spans="1:19" x14ac:dyDescent="0.25">
      <c r="A1477" s="1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</row>
    <row r="1478" spans="1:19" x14ac:dyDescent="0.25">
      <c r="A1478" s="1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</row>
    <row r="1479" spans="1:19" x14ac:dyDescent="0.25">
      <c r="A1479" s="1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</row>
    <row r="1480" spans="1:19" x14ac:dyDescent="0.25">
      <c r="A1480" s="1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</row>
    <row r="1481" spans="1:19" x14ac:dyDescent="0.25">
      <c r="A1481" s="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</row>
    <row r="1482" spans="1:19" x14ac:dyDescent="0.25">
      <c r="A1482" s="1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</row>
    <row r="1483" spans="1:19" x14ac:dyDescent="0.25">
      <c r="A1483" s="1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</row>
    <row r="1484" spans="1:19" x14ac:dyDescent="0.25">
      <c r="A1484" s="1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</row>
    <row r="1485" spans="1:19" x14ac:dyDescent="0.25">
      <c r="A1485" s="1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</row>
    <row r="1486" spans="1:19" x14ac:dyDescent="0.25">
      <c r="A1486" s="1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</row>
    <row r="1487" spans="1:19" x14ac:dyDescent="0.25">
      <c r="A1487" s="1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</row>
    <row r="1488" spans="1:19" x14ac:dyDescent="0.25">
      <c r="A1488" s="1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</row>
    <row r="1489" spans="1:19" x14ac:dyDescent="0.25">
      <c r="A1489" s="1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</row>
    <row r="1490" spans="1:19" x14ac:dyDescent="0.25">
      <c r="A1490" s="1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</row>
    <row r="1491" spans="1:19" x14ac:dyDescent="0.25">
      <c r="A1491" s="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</row>
    <row r="1492" spans="1:19" x14ac:dyDescent="0.25">
      <c r="A1492" s="1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</row>
    <row r="1493" spans="1:19" x14ac:dyDescent="0.25">
      <c r="A1493" s="1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</row>
    <row r="1494" spans="1:19" x14ac:dyDescent="0.25">
      <c r="A1494" s="1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</row>
    <row r="1495" spans="1:19" x14ac:dyDescent="0.25">
      <c r="A1495" s="1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</row>
    <row r="1496" spans="1:19" x14ac:dyDescent="0.25">
      <c r="A1496" s="1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</row>
    <row r="1497" spans="1:19" x14ac:dyDescent="0.25">
      <c r="A1497" s="1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</row>
    <row r="1498" spans="1:19" x14ac:dyDescent="0.25">
      <c r="A1498" s="1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</row>
    <row r="1499" spans="1:19" x14ac:dyDescent="0.25">
      <c r="A1499" s="1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</row>
    <row r="1500" spans="1:19" x14ac:dyDescent="0.25">
      <c r="A1500" s="1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</row>
    <row r="1501" spans="1:19" x14ac:dyDescent="0.25">
      <c r="A1501" s="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</row>
    <row r="1502" spans="1:19" x14ac:dyDescent="0.25">
      <c r="A1502" s="1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</row>
    <row r="1503" spans="1:19" x14ac:dyDescent="0.25">
      <c r="A1503" s="1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</row>
    <row r="1504" spans="1:19" x14ac:dyDescent="0.25">
      <c r="A1504" s="1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</row>
    <row r="1505" spans="1:19" x14ac:dyDescent="0.25">
      <c r="A1505" s="1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</row>
    <row r="1506" spans="1:19" x14ac:dyDescent="0.25">
      <c r="A1506" s="1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</row>
    <row r="1507" spans="1:19" x14ac:dyDescent="0.25">
      <c r="A1507" s="1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</row>
    <row r="1508" spans="1:19" x14ac:dyDescent="0.25">
      <c r="A1508" s="1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</row>
    <row r="1509" spans="1:19" x14ac:dyDescent="0.25">
      <c r="A1509" s="1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</row>
    <row r="1510" spans="1:19" x14ac:dyDescent="0.25">
      <c r="A1510" s="1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</row>
    <row r="1511" spans="1:19" x14ac:dyDescent="0.25">
      <c r="A1511" s="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</row>
    <row r="1512" spans="1:19" x14ac:dyDescent="0.25">
      <c r="A1512" s="1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</row>
    <row r="1513" spans="1:19" x14ac:dyDescent="0.25">
      <c r="A1513" s="1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</row>
    <row r="1514" spans="1:19" x14ac:dyDescent="0.25">
      <c r="A1514" s="1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</row>
    <row r="1515" spans="1:19" x14ac:dyDescent="0.25">
      <c r="A1515" s="1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</row>
    <row r="1516" spans="1:19" x14ac:dyDescent="0.25">
      <c r="A1516" s="1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</row>
    <row r="1517" spans="1:19" x14ac:dyDescent="0.25">
      <c r="A1517" s="1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</row>
    <row r="1518" spans="1:19" x14ac:dyDescent="0.25">
      <c r="A1518" s="1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</row>
    <row r="1519" spans="1:19" x14ac:dyDescent="0.25">
      <c r="A1519" s="1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</row>
    <row r="1520" spans="1:19" x14ac:dyDescent="0.25">
      <c r="A1520" s="1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</row>
    <row r="1521" spans="1:19" x14ac:dyDescent="0.25">
      <c r="A1521" s="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</row>
    <row r="1522" spans="1:19" x14ac:dyDescent="0.25">
      <c r="A1522" s="1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</row>
    <row r="1523" spans="1:19" x14ac:dyDescent="0.25">
      <c r="A1523" s="1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</row>
    <row r="1524" spans="1:19" x14ac:dyDescent="0.25">
      <c r="A1524" s="1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</row>
    <row r="1525" spans="1:19" x14ac:dyDescent="0.25">
      <c r="A1525" s="1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</row>
    <row r="1526" spans="1:19" x14ac:dyDescent="0.25">
      <c r="A1526" s="1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</row>
    <row r="1527" spans="1:19" x14ac:dyDescent="0.25">
      <c r="A1527" s="1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</row>
    <row r="1528" spans="1:19" x14ac:dyDescent="0.25">
      <c r="A1528" s="1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</row>
    <row r="1529" spans="1:19" x14ac:dyDescent="0.25">
      <c r="A1529" s="1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</row>
    <row r="1530" spans="1:19" x14ac:dyDescent="0.25">
      <c r="A1530" s="1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</row>
    <row r="1531" spans="1:19" x14ac:dyDescent="0.25">
      <c r="A1531" s="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</row>
    <row r="1532" spans="1:19" x14ac:dyDescent="0.25">
      <c r="A1532" s="1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</row>
    <row r="1533" spans="1:19" x14ac:dyDescent="0.25">
      <c r="A1533" s="1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</row>
    <row r="1534" spans="1:19" x14ac:dyDescent="0.25">
      <c r="A1534" s="1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</row>
    <row r="1535" spans="1:19" x14ac:dyDescent="0.25">
      <c r="A1535" s="1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</row>
    <row r="1536" spans="1:19" x14ac:dyDescent="0.25">
      <c r="A1536" s="1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</row>
    <row r="1537" spans="1:19" x14ac:dyDescent="0.25">
      <c r="A1537" s="1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</row>
    <row r="1538" spans="1:19" x14ac:dyDescent="0.25">
      <c r="A1538" s="1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</row>
    <row r="1539" spans="1:19" x14ac:dyDescent="0.25">
      <c r="A1539" s="1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</row>
    <row r="1540" spans="1:19" x14ac:dyDescent="0.25">
      <c r="A1540" s="1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</row>
    <row r="1541" spans="1:19" x14ac:dyDescent="0.25">
      <c r="A1541" s="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</row>
    <row r="1542" spans="1:19" x14ac:dyDescent="0.25">
      <c r="A1542" s="1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</row>
    <row r="1543" spans="1:19" x14ac:dyDescent="0.25">
      <c r="A1543" s="1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</row>
    <row r="1544" spans="1:19" x14ac:dyDescent="0.25">
      <c r="A1544" s="1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</row>
    <row r="1545" spans="1:19" x14ac:dyDescent="0.25">
      <c r="A1545" s="1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</row>
    <row r="1546" spans="1:19" x14ac:dyDescent="0.25">
      <c r="A1546" s="1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</row>
    <row r="1547" spans="1:19" x14ac:dyDescent="0.25">
      <c r="A1547" s="1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</row>
    <row r="1548" spans="1:19" x14ac:dyDescent="0.25">
      <c r="A1548" s="1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</row>
    <row r="1549" spans="1:19" x14ac:dyDescent="0.25">
      <c r="A1549" s="1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</row>
    <row r="1550" spans="1:19" x14ac:dyDescent="0.25">
      <c r="A1550" s="1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</row>
    <row r="1551" spans="1:19" x14ac:dyDescent="0.25">
      <c r="A1551" s="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</row>
    <row r="1552" spans="1:19" x14ac:dyDescent="0.25">
      <c r="A1552" s="1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</row>
    <row r="1553" spans="1:19" x14ac:dyDescent="0.25">
      <c r="A1553" s="1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</row>
    <row r="1554" spans="1:19" x14ac:dyDescent="0.25">
      <c r="A1554" s="1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</row>
    <row r="1555" spans="1:19" x14ac:dyDescent="0.25">
      <c r="A1555" s="1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</row>
    <row r="1556" spans="1:19" x14ac:dyDescent="0.25">
      <c r="A1556" s="1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</row>
    <row r="1557" spans="1:19" x14ac:dyDescent="0.25">
      <c r="A1557" s="1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</row>
    <row r="1558" spans="1:19" x14ac:dyDescent="0.25">
      <c r="A1558" s="1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</row>
    <row r="1559" spans="1:19" x14ac:dyDescent="0.25">
      <c r="A1559" s="1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</row>
    <row r="1560" spans="1:19" x14ac:dyDescent="0.25">
      <c r="A1560" s="1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</row>
    <row r="1561" spans="1:19" x14ac:dyDescent="0.25">
      <c r="A1561" s="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</row>
    <row r="1562" spans="1:19" x14ac:dyDescent="0.25">
      <c r="A1562" s="1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</row>
    <row r="1563" spans="1:19" x14ac:dyDescent="0.25">
      <c r="A1563" s="1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</row>
    <row r="1564" spans="1:19" x14ac:dyDescent="0.25">
      <c r="A1564" s="1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</row>
    <row r="1565" spans="1:19" x14ac:dyDescent="0.25">
      <c r="A1565" s="1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</row>
    <row r="1566" spans="1:19" x14ac:dyDescent="0.25">
      <c r="A1566" s="1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</row>
    <row r="1567" spans="1:19" x14ac:dyDescent="0.25">
      <c r="A1567" s="1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</row>
    <row r="1568" spans="1:19" x14ac:dyDescent="0.25">
      <c r="A1568" s="1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</row>
    <row r="1569" spans="1:19" x14ac:dyDescent="0.25">
      <c r="A1569" s="1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</row>
    <row r="1570" spans="1:19" x14ac:dyDescent="0.25">
      <c r="A1570" s="1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</row>
    <row r="1571" spans="1:19" x14ac:dyDescent="0.25">
      <c r="A1571" s="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</row>
    <row r="1572" spans="1:19" x14ac:dyDescent="0.25">
      <c r="A1572" s="1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</row>
    <row r="1573" spans="1:19" x14ac:dyDescent="0.25">
      <c r="A1573" s="1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</row>
    <row r="1574" spans="1:19" x14ac:dyDescent="0.25">
      <c r="A1574" s="1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</row>
    <row r="1575" spans="1:19" x14ac:dyDescent="0.25">
      <c r="A1575" s="1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</row>
    <row r="1576" spans="1:19" x14ac:dyDescent="0.25">
      <c r="A1576" s="1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</row>
    <row r="1577" spans="1:19" x14ac:dyDescent="0.25">
      <c r="A1577" s="1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</row>
    <row r="1578" spans="1:19" x14ac:dyDescent="0.25">
      <c r="A1578" s="1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</row>
    <row r="1579" spans="1:19" x14ac:dyDescent="0.25">
      <c r="A1579" s="1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</row>
    <row r="1580" spans="1:19" x14ac:dyDescent="0.25">
      <c r="A1580" s="1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</row>
    <row r="1581" spans="1:19" x14ac:dyDescent="0.25">
      <c r="A1581" s="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</row>
    <row r="1582" spans="1:19" x14ac:dyDescent="0.25">
      <c r="A1582" s="1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</row>
    <row r="1583" spans="1:19" x14ac:dyDescent="0.25">
      <c r="A1583" s="1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</row>
    <row r="1584" spans="1:19" x14ac:dyDescent="0.25">
      <c r="A1584" s="1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</row>
    <row r="1585" spans="1:19" x14ac:dyDescent="0.25">
      <c r="A1585" s="1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</row>
    <row r="1586" spans="1:19" x14ac:dyDescent="0.25">
      <c r="A1586" s="1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</row>
    <row r="1587" spans="1:19" x14ac:dyDescent="0.25">
      <c r="A1587" s="1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</row>
    <row r="1588" spans="1:19" x14ac:dyDescent="0.25">
      <c r="A1588" s="1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</row>
    <row r="1589" spans="1:19" x14ac:dyDescent="0.25">
      <c r="A1589" s="1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</row>
    <row r="1590" spans="1:19" x14ac:dyDescent="0.25">
      <c r="A1590" s="1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</row>
    <row r="1591" spans="1:19" x14ac:dyDescent="0.25">
      <c r="A1591" s="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</row>
    <row r="1592" spans="1:19" x14ac:dyDescent="0.25">
      <c r="A1592" s="1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</row>
    <row r="1593" spans="1:19" x14ac:dyDescent="0.25">
      <c r="A1593" s="1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</row>
    <row r="1594" spans="1:19" x14ac:dyDescent="0.25">
      <c r="A1594" s="1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</row>
    <row r="1595" spans="1:19" x14ac:dyDescent="0.25">
      <c r="A1595" s="1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</row>
    <row r="1596" spans="1:19" x14ac:dyDescent="0.25">
      <c r="A1596" s="1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</row>
    <row r="1597" spans="1:19" x14ac:dyDescent="0.25">
      <c r="A1597" s="1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</row>
    <row r="1598" spans="1:19" x14ac:dyDescent="0.25">
      <c r="A1598" s="1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</row>
    <row r="1599" spans="1:19" x14ac:dyDescent="0.25">
      <c r="A1599" s="1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</row>
    <row r="1600" spans="1:19" x14ac:dyDescent="0.25">
      <c r="A1600" s="1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</row>
    <row r="1601" spans="1:19" x14ac:dyDescent="0.25">
      <c r="A1601" s="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</row>
    <row r="1602" spans="1:19" x14ac:dyDescent="0.25">
      <c r="A1602" s="1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</row>
    <row r="1603" spans="1:19" x14ac:dyDescent="0.25">
      <c r="A1603" s="1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</row>
    <row r="1604" spans="1:19" x14ac:dyDescent="0.25">
      <c r="A1604" s="1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</row>
    <row r="1605" spans="1:19" x14ac:dyDescent="0.25">
      <c r="A1605" s="1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</row>
    <row r="1606" spans="1:19" x14ac:dyDescent="0.25">
      <c r="A1606" s="1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</row>
    <row r="1607" spans="1:19" x14ac:dyDescent="0.25">
      <c r="A1607" s="1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</row>
    <row r="1608" spans="1:19" x14ac:dyDescent="0.25">
      <c r="A1608" s="1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</row>
    <row r="1609" spans="1:19" x14ac:dyDescent="0.25">
      <c r="A1609" s="1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</row>
    <row r="1610" spans="1:19" x14ac:dyDescent="0.25">
      <c r="A1610" s="1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</row>
    <row r="1611" spans="1:19" x14ac:dyDescent="0.25">
      <c r="A1611" s="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</row>
    <row r="1612" spans="1:19" x14ac:dyDescent="0.25">
      <c r="A1612" s="1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</row>
    <row r="1613" spans="1:19" x14ac:dyDescent="0.25">
      <c r="A1613" s="1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</row>
    <row r="1614" spans="1:19" x14ac:dyDescent="0.25">
      <c r="A1614" s="1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</row>
    <row r="1615" spans="1:19" x14ac:dyDescent="0.25">
      <c r="A1615" s="1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</row>
    <row r="1616" spans="1:19" x14ac:dyDescent="0.25">
      <c r="A1616" s="1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</row>
    <row r="1617" spans="1:19" x14ac:dyDescent="0.25">
      <c r="A1617" s="1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</row>
    <row r="1618" spans="1:19" x14ac:dyDescent="0.25">
      <c r="A1618" s="1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</row>
    <row r="1619" spans="1:19" x14ac:dyDescent="0.25">
      <c r="A1619" s="1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</row>
    <row r="1620" spans="1:19" x14ac:dyDescent="0.25">
      <c r="A1620" s="1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</row>
    <row r="1621" spans="1:19" x14ac:dyDescent="0.25">
      <c r="A1621" s="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</row>
    <row r="1622" spans="1:19" x14ac:dyDescent="0.25">
      <c r="A1622" s="1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</row>
    <row r="1623" spans="1:19" x14ac:dyDescent="0.25">
      <c r="A1623" s="1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</row>
    <row r="1624" spans="1:19" x14ac:dyDescent="0.25">
      <c r="A1624" s="1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</row>
    <row r="1625" spans="1:19" x14ac:dyDescent="0.25">
      <c r="A1625" s="1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</row>
    <row r="1626" spans="1:19" x14ac:dyDescent="0.25">
      <c r="A1626" s="1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</row>
    <row r="1627" spans="1:19" x14ac:dyDescent="0.25">
      <c r="A1627" s="1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</row>
    <row r="1628" spans="1:19" x14ac:dyDescent="0.25">
      <c r="A1628" s="1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</row>
    <row r="1629" spans="1:19" x14ac:dyDescent="0.25">
      <c r="A1629" s="1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</row>
    <row r="1630" spans="1:19" x14ac:dyDescent="0.25">
      <c r="A1630" s="1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</row>
    <row r="1631" spans="1:19" x14ac:dyDescent="0.25">
      <c r="A1631" s="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</row>
    <row r="1632" spans="1:19" x14ac:dyDescent="0.25">
      <c r="A1632" s="1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</row>
    <row r="1633" spans="1:19" x14ac:dyDescent="0.25">
      <c r="A1633" s="1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</row>
    <row r="1634" spans="1:19" x14ac:dyDescent="0.25">
      <c r="A1634" s="1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</row>
    <row r="1635" spans="1:19" x14ac:dyDescent="0.25">
      <c r="A1635" s="1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</row>
    <row r="1636" spans="1:19" x14ac:dyDescent="0.25">
      <c r="A1636" s="1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</row>
    <row r="1637" spans="1:19" x14ac:dyDescent="0.25">
      <c r="A1637" s="1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</row>
    <row r="1638" spans="1:19" x14ac:dyDescent="0.25">
      <c r="A1638" s="1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</row>
    <row r="1639" spans="1:19" x14ac:dyDescent="0.25">
      <c r="A1639" s="1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</row>
    <row r="1640" spans="1:19" x14ac:dyDescent="0.25">
      <c r="A1640" s="1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</row>
    <row r="1641" spans="1:19" x14ac:dyDescent="0.25">
      <c r="A1641" s="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</row>
    <row r="1642" spans="1:19" x14ac:dyDescent="0.25">
      <c r="A1642" s="1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</row>
    <row r="1643" spans="1:19" x14ac:dyDescent="0.25">
      <c r="A1643" s="1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</row>
    <row r="1644" spans="1:19" x14ac:dyDescent="0.25">
      <c r="A1644" s="1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</row>
    <row r="1645" spans="1:19" x14ac:dyDescent="0.25">
      <c r="A1645" s="1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</row>
    <row r="1646" spans="1:19" x14ac:dyDescent="0.25">
      <c r="A1646" s="1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</row>
    <row r="1647" spans="1:19" x14ac:dyDescent="0.25">
      <c r="A1647" s="1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</row>
    <row r="1648" spans="1:19" x14ac:dyDescent="0.25">
      <c r="A1648" s="1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</row>
    <row r="1649" spans="1:19" x14ac:dyDescent="0.25">
      <c r="A1649" s="1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</row>
    <row r="1650" spans="1:19" x14ac:dyDescent="0.25">
      <c r="A1650" s="1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</row>
    <row r="1651" spans="1:19" x14ac:dyDescent="0.25">
      <c r="A1651" s="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</row>
    <row r="1652" spans="1:19" x14ac:dyDescent="0.25">
      <c r="A1652" s="1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</row>
    <row r="1653" spans="1:19" x14ac:dyDescent="0.25">
      <c r="A1653" s="1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</row>
    <row r="1654" spans="1:19" x14ac:dyDescent="0.25">
      <c r="A1654" s="1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</row>
    <row r="1655" spans="1:19" x14ac:dyDescent="0.25">
      <c r="A1655" s="1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</row>
    <row r="1656" spans="1:19" x14ac:dyDescent="0.25">
      <c r="A1656" s="1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</row>
    <row r="1657" spans="1:19" x14ac:dyDescent="0.25">
      <c r="A1657" s="1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</row>
    <row r="1658" spans="1:19" x14ac:dyDescent="0.25">
      <c r="A1658" s="1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</row>
    <row r="1659" spans="1:19" x14ac:dyDescent="0.25">
      <c r="A1659" s="1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</row>
    <row r="1660" spans="1:19" x14ac:dyDescent="0.25">
      <c r="A1660" s="1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</row>
    <row r="1661" spans="1:19" x14ac:dyDescent="0.25">
      <c r="A1661" s="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</row>
    <row r="1662" spans="1:19" x14ac:dyDescent="0.25">
      <c r="A1662" s="1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</row>
    <row r="1663" spans="1:19" x14ac:dyDescent="0.25">
      <c r="A1663" s="1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</row>
    <row r="1664" spans="1:19" x14ac:dyDescent="0.25">
      <c r="A1664" s="1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</row>
    <row r="1665" spans="1:19" x14ac:dyDescent="0.25">
      <c r="A1665" s="1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</row>
    <row r="1666" spans="1:19" x14ac:dyDescent="0.25">
      <c r="A1666" s="1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</row>
    <row r="1667" spans="1:19" x14ac:dyDescent="0.25">
      <c r="A1667" s="1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</row>
    <row r="1668" spans="1:19" x14ac:dyDescent="0.25">
      <c r="A1668" s="1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</row>
    <row r="1669" spans="1:19" x14ac:dyDescent="0.25">
      <c r="A1669" s="1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</row>
    <row r="1670" spans="1:19" x14ac:dyDescent="0.25">
      <c r="A1670" s="1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</row>
    <row r="1671" spans="1:19" x14ac:dyDescent="0.25">
      <c r="A1671" s="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</row>
    <row r="1672" spans="1:19" x14ac:dyDescent="0.25">
      <c r="A1672" s="1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</row>
    <row r="1673" spans="1:19" x14ac:dyDescent="0.25">
      <c r="A1673" s="1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</row>
    <row r="1674" spans="1:19" x14ac:dyDescent="0.25">
      <c r="A1674" s="1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</row>
    <row r="1675" spans="1:19" x14ac:dyDescent="0.25">
      <c r="A1675" s="1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</row>
    <row r="1676" spans="1:19" x14ac:dyDescent="0.25">
      <c r="A1676" s="1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</row>
    <row r="1677" spans="1:19" x14ac:dyDescent="0.25">
      <c r="A1677" s="1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</row>
    <row r="1678" spans="1:19" x14ac:dyDescent="0.25">
      <c r="A1678" s="1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</row>
    <row r="1679" spans="1:19" x14ac:dyDescent="0.25">
      <c r="A1679" s="1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</row>
    <row r="1680" spans="1:19" x14ac:dyDescent="0.25">
      <c r="A1680" s="1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</row>
    <row r="1681" spans="1:19" x14ac:dyDescent="0.25">
      <c r="A1681" s="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</row>
    <row r="1682" spans="1:19" x14ac:dyDescent="0.25">
      <c r="A1682" s="1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</row>
    <row r="1683" spans="1:19" x14ac:dyDescent="0.25">
      <c r="A1683" s="1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</row>
    <row r="1684" spans="1:19" x14ac:dyDescent="0.25">
      <c r="A1684" s="1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</row>
    <row r="1685" spans="1:19" x14ac:dyDescent="0.25">
      <c r="A1685" s="1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</row>
    <row r="1686" spans="1:19" x14ac:dyDescent="0.25">
      <c r="A1686" s="1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</row>
    <row r="1687" spans="1:19" x14ac:dyDescent="0.25">
      <c r="A1687" s="1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</row>
    <row r="1688" spans="1:19" x14ac:dyDescent="0.25">
      <c r="A1688" s="1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</row>
    <row r="1689" spans="1:19" x14ac:dyDescent="0.25">
      <c r="A1689" s="1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</row>
    <row r="1690" spans="1:19" x14ac:dyDescent="0.25">
      <c r="A1690" s="1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</row>
    <row r="1691" spans="1:19" x14ac:dyDescent="0.25">
      <c r="A1691" s="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</row>
    <row r="1692" spans="1:19" x14ac:dyDescent="0.25">
      <c r="A1692" s="1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</row>
    <row r="1693" spans="1:19" x14ac:dyDescent="0.25">
      <c r="A1693" s="1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</row>
    <row r="1694" spans="1:19" x14ac:dyDescent="0.25">
      <c r="A1694" s="1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</row>
    <row r="1695" spans="1:19" x14ac:dyDescent="0.25">
      <c r="A1695" s="1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</row>
    <row r="1696" spans="1:19" x14ac:dyDescent="0.25">
      <c r="A1696" s="1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</row>
    <row r="1697" spans="1:19" x14ac:dyDescent="0.25">
      <c r="A1697" s="1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</row>
    <row r="1698" spans="1:19" x14ac:dyDescent="0.25">
      <c r="A1698" s="1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</row>
    <row r="1699" spans="1:19" x14ac:dyDescent="0.25">
      <c r="A1699" s="1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</row>
    <row r="1700" spans="1:19" x14ac:dyDescent="0.25">
      <c r="A1700" s="1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</row>
    <row r="1701" spans="1:19" x14ac:dyDescent="0.25">
      <c r="A1701" s="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</row>
    <row r="1702" spans="1:19" x14ac:dyDescent="0.25">
      <c r="A1702" s="1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</row>
    <row r="1703" spans="1:19" x14ac:dyDescent="0.25">
      <c r="A1703" s="1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</row>
    <row r="1704" spans="1:19" x14ac:dyDescent="0.25">
      <c r="A1704" s="1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</row>
    <row r="1705" spans="1:19" x14ac:dyDescent="0.25">
      <c r="A1705" s="1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</row>
    <row r="1706" spans="1:19" x14ac:dyDescent="0.25">
      <c r="A1706" s="1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</row>
    <row r="1707" spans="1:19" x14ac:dyDescent="0.25">
      <c r="A1707" s="1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</row>
    <row r="1708" spans="1:19" x14ac:dyDescent="0.25">
      <c r="A1708" s="1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</row>
    <row r="1709" spans="1:19" x14ac:dyDescent="0.25">
      <c r="A1709" s="1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</row>
    <row r="1710" spans="1:19" x14ac:dyDescent="0.25">
      <c r="A1710" s="1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</row>
    <row r="1711" spans="1:19" x14ac:dyDescent="0.25">
      <c r="A1711" s="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</row>
    <row r="1712" spans="1:19" x14ac:dyDescent="0.25">
      <c r="A1712" s="1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</row>
    <row r="1713" spans="1:19" x14ac:dyDescent="0.25">
      <c r="A1713" s="1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</row>
    <row r="1714" spans="1:19" x14ac:dyDescent="0.25">
      <c r="A1714" s="1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</row>
    <row r="1715" spans="1:19" x14ac:dyDescent="0.25">
      <c r="A1715" s="1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</row>
    <row r="1716" spans="1:19" x14ac:dyDescent="0.25">
      <c r="A1716" s="1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</row>
    <row r="1717" spans="1:19" x14ac:dyDescent="0.25">
      <c r="A1717" s="1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</row>
    <row r="1718" spans="1:19" x14ac:dyDescent="0.25">
      <c r="A1718" s="1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</row>
    <row r="1719" spans="1:19" x14ac:dyDescent="0.25">
      <c r="A1719" s="1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</row>
    <row r="1720" spans="1:19" x14ac:dyDescent="0.25">
      <c r="A1720" s="1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</row>
    <row r="1721" spans="1:19" x14ac:dyDescent="0.25">
      <c r="A1721" s="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</row>
    <row r="1722" spans="1:19" x14ac:dyDescent="0.25">
      <c r="A1722" s="1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</row>
    <row r="1723" spans="1:19" x14ac:dyDescent="0.25">
      <c r="A1723" s="1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</row>
    <row r="1724" spans="1:19" x14ac:dyDescent="0.25">
      <c r="A1724" s="1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</row>
    <row r="1725" spans="1:19" x14ac:dyDescent="0.25">
      <c r="A1725" s="1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</row>
    <row r="1726" spans="1:19" x14ac:dyDescent="0.25">
      <c r="A1726" s="1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</row>
    <row r="1727" spans="1:19" x14ac:dyDescent="0.25">
      <c r="A1727" s="1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</row>
    <row r="1728" spans="1:19" x14ac:dyDescent="0.25">
      <c r="A1728" s="1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</row>
    <row r="1729" spans="1:19" x14ac:dyDescent="0.25">
      <c r="A1729" s="1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</row>
    <row r="1730" spans="1:19" x14ac:dyDescent="0.25">
      <c r="A1730" s="1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</row>
    <row r="1731" spans="1:19" x14ac:dyDescent="0.25">
      <c r="A1731" s="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</row>
    <row r="1732" spans="1:19" x14ac:dyDescent="0.25">
      <c r="A1732" s="1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</row>
    <row r="1733" spans="1:19" x14ac:dyDescent="0.25">
      <c r="A1733" s="1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</row>
    <row r="1734" spans="1:19" x14ac:dyDescent="0.25">
      <c r="A1734" s="1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</row>
    <row r="1735" spans="1:19" x14ac:dyDescent="0.25">
      <c r="A1735" s="1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</row>
    <row r="1736" spans="1:19" x14ac:dyDescent="0.25">
      <c r="A1736" s="1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</row>
    <row r="1737" spans="1:19" x14ac:dyDescent="0.25">
      <c r="A1737" s="1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</row>
    <row r="1738" spans="1:19" x14ac:dyDescent="0.25">
      <c r="A1738" s="1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</row>
    <row r="1739" spans="1:19" x14ac:dyDescent="0.25">
      <c r="A1739" s="1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</row>
    <row r="1740" spans="1:19" x14ac:dyDescent="0.25">
      <c r="A1740" s="1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</row>
    <row r="1741" spans="1:19" x14ac:dyDescent="0.25">
      <c r="A1741" s="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</row>
    <row r="1742" spans="1:19" x14ac:dyDescent="0.25">
      <c r="A1742" s="1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</row>
    <row r="1743" spans="1:19" x14ac:dyDescent="0.25">
      <c r="A1743" s="1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</row>
    <row r="1744" spans="1:19" x14ac:dyDescent="0.25">
      <c r="A1744" s="1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</row>
    <row r="1745" spans="1:19" x14ac:dyDescent="0.25">
      <c r="A1745" s="1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</row>
    <row r="1746" spans="1:19" x14ac:dyDescent="0.25">
      <c r="A1746" s="1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</row>
    <row r="1747" spans="1:19" x14ac:dyDescent="0.25">
      <c r="A1747" s="1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</row>
    <row r="1748" spans="1:19" x14ac:dyDescent="0.25">
      <c r="A1748" s="1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</row>
    <row r="1749" spans="1:19" x14ac:dyDescent="0.25">
      <c r="A1749" s="1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</row>
    <row r="1750" spans="1:19" x14ac:dyDescent="0.25">
      <c r="A1750" s="1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</row>
    <row r="1751" spans="1:19" x14ac:dyDescent="0.25">
      <c r="A1751" s="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</row>
    <row r="1752" spans="1:19" x14ac:dyDescent="0.25">
      <c r="A1752" s="1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</row>
    <row r="1753" spans="1:19" x14ac:dyDescent="0.25">
      <c r="A1753" s="1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</row>
    <row r="1754" spans="1:19" x14ac:dyDescent="0.25">
      <c r="A1754" s="1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</row>
    <row r="1755" spans="1:19" x14ac:dyDescent="0.25">
      <c r="A1755" s="1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</row>
    <row r="1756" spans="1:19" x14ac:dyDescent="0.25">
      <c r="A1756" s="1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</row>
    <row r="1757" spans="1:19" x14ac:dyDescent="0.25">
      <c r="A1757" s="1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</row>
    <row r="1758" spans="1:19" x14ac:dyDescent="0.25">
      <c r="A1758" s="1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</row>
    <row r="1759" spans="1:19" x14ac:dyDescent="0.25">
      <c r="A1759" s="1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</row>
    <row r="1760" spans="1:19" x14ac:dyDescent="0.25">
      <c r="A1760" s="1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</row>
    <row r="1761" spans="1:19" x14ac:dyDescent="0.25">
      <c r="A1761" s="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</row>
    <row r="1762" spans="1:19" x14ac:dyDescent="0.25">
      <c r="A1762" s="1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</row>
    <row r="1763" spans="1:19" x14ac:dyDescent="0.25">
      <c r="A1763" s="1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</row>
    <row r="1764" spans="1:19" x14ac:dyDescent="0.25">
      <c r="A1764" s="1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</row>
    <row r="1765" spans="1:19" x14ac:dyDescent="0.25">
      <c r="A1765" s="1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</row>
    <row r="1766" spans="1:19" x14ac:dyDescent="0.25">
      <c r="A1766" s="1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</row>
    <row r="1767" spans="1:19" x14ac:dyDescent="0.25">
      <c r="A1767" s="1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</row>
    <row r="1768" spans="1:19" x14ac:dyDescent="0.25">
      <c r="A1768" s="1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</row>
    <row r="1769" spans="1:19" x14ac:dyDescent="0.25">
      <c r="A1769" s="1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</row>
    <row r="1770" spans="1:19" x14ac:dyDescent="0.25">
      <c r="A1770" s="1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</row>
    <row r="1771" spans="1:19" x14ac:dyDescent="0.25">
      <c r="A1771" s="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</row>
    <row r="1772" spans="1:19" x14ac:dyDescent="0.25">
      <c r="A1772" s="1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</row>
    <row r="1773" spans="1:19" x14ac:dyDescent="0.25">
      <c r="A1773" s="1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</row>
    <row r="1774" spans="1:19" x14ac:dyDescent="0.25">
      <c r="A1774" s="1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</row>
    <row r="1775" spans="1:19" x14ac:dyDescent="0.25">
      <c r="A1775" s="1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</row>
    <row r="1776" spans="1:19" x14ac:dyDescent="0.25">
      <c r="A1776" s="1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</row>
    <row r="1777" spans="1:19" x14ac:dyDescent="0.25">
      <c r="A1777" s="1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</row>
    <row r="1778" spans="1:19" x14ac:dyDescent="0.25">
      <c r="A1778" s="1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</row>
    <row r="1779" spans="1:19" x14ac:dyDescent="0.25">
      <c r="A1779" s="1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</row>
    <row r="1780" spans="1:19" x14ac:dyDescent="0.25">
      <c r="A1780" s="1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</row>
    <row r="1781" spans="1:19" x14ac:dyDescent="0.25">
      <c r="A1781" s="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</row>
    <row r="1782" spans="1:19" x14ac:dyDescent="0.25">
      <c r="A1782" s="1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</row>
    <row r="1783" spans="1:19" x14ac:dyDescent="0.25">
      <c r="A1783" s="1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</row>
    <row r="1784" spans="1:19" x14ac:dyDescent="0.25">
      <c r="A1784" s="1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</row>
    <row r="1785" spans="1:19" x14ac:dyDescent="0.25">
      <c r="A1785" s="1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</row>
    <row r="1786" spans="1:19" x14ac:dyDescent="0.25">
      <c r="A1786" s="1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</row>
    <row r="1787" spans="1:19" x14ac:dyDescent="0.25">
      <c r="A1787" s="1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</row>
    <row r="1788" spans="1:19" x14ac:dyDescent="0.25">
      <c r="A1788" s="1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</row>
    <row r="1789" spans="1:19" x14ac:dyDescent="0.25">
      <c r="A1789" s="1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</row>
    <row r="1790" spans="1:19" x14ac:dyDescent="0.25">
      <c r="A1790" s="1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</row>
    <row r="1791" spans="1:19" x14ac:dyDescent="0.25">
      <c r="A1791" s="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</row>
    <row r="1792" spans="1:19" x14ac:dyDescent="0.25">
      <c r="A1792" s="1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</row>
    <row r="1793" spans="1:19" x14ac:dyDescent="0.25">
      <c r="A1793" s="1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</row>
    <row r="1794" spans="1:19" x14ac:dyDescent="0.25">
      <c r="A1794" s="1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</row>
    <row r="1795" spans="1:19" x14ac:dyDescent="0.25">
      <c r="A1795" s="1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</row>
    <row r="1796" spans="1:19" x14ac:dyDescent="0.25">
      <c r="A1796" s="1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</row>
    <row r="1797" spans="1:19" x14ac:dyDescent="0.25">
      <c r="A1797" s="1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</row>
    <row r="1798" spans="1:19" x14ac:dyDescent="0.25">
      <c r="A1798" s="1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</row>
    <row r="1799" spans="1:19" x14ac:dyDescent="0.25">
      <c r="A1799" s="1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</row>
    <row r="1800" spans="1:19" x14ac:dyDescent="0.25">
      <c r="A1800" s="1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</row>
    <row r="1801" spans="1:19" x14ac:dyDescent="0.25">
      <c r="A1801" s="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</row>
    <row r="1802" spans="1:19" x14ac:dyDescent="0.25">
      <c r="A1802" s="1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</row>
    <row r="1803" spans="1:19" x14ac:dyDescent="0.25">
      <c r="A1803" s="1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</row>
    <row r="1804" spans="1:19" x14ac:dyDescent="0.25">
      <c r="A1804" s="1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</row>
    <row r="1805" spans="1:19" x14ac:dyDescent="0.25">
      <c r="A1805" s="1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</row>
    <row r="1806" spans="1:19" x14ac:dyDescent="0.25">
      <c r="A1806" s="1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</row>
    <row r="1807" spans="1:19" x14ac:dyDescent="0.25">
      <c r="A1807" s="1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</row>
    <row r="1808" spans="1:19" x14ac:dyDescent="0.25">
      <c r="A1808" s="1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</row>
    <row r="1809" spans="1:19" x14ac:dyDescent="0.25">
      <c r="A1809" s="1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</row>
    <row r="1810" spans="1:19" x14ac:dyDescent="0.25">
      <c r="A1810" s="1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</row>
    <row r="1811" spans="1:19" x14ac:dyDescent="0.25">
      <c r="A1811" s="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</row>
    <row r="1812" spans="1:19" x14ac:dyDescent="0.25">
      <c r="A1812" s="1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</row>
    <row r="1813" spans="1:19" x14ac:dyDescent="0.25">
      <c r="A1813" s="1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</row>
    <row r="1814" spans="1:19" x14ac:dyDescent="0.25">
      <c r="A1814" s="1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</row>
    <row r="1815" spans="1:19" x14ac:dyDescent="0.25">
      <c r="A1815" s="1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</row>
    <row r="1816" spans="1:19" x14ac:dyDescent="0.25">
      <c r="A1816" s="1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</row>
    <row r="1817" spans="1:19" x14ac:dyDescent="0.25">
      <c r="A1817" s="1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</row>
    <row r="1818" spans="1:19" x14ac:dyDescent="0.25">
      <c r="A1818" s="1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</row>
    <row r="1819" spans="1:19" x14ac:dyDescent="0.25">
      <c r="A1819" s="1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</row>
    <row r="1820" spans="1:19" x14ac:dyDescent="0.25">
      <c r="A1820" s="1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</row>
    <row r="1821" spans="1:19" x14ac:dyDescent="0.25">
      <c r="A1821" s="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</row>
    <row r="1822" spans="1:19" x14ac:dyDescent="0.25">
      <c r="A1822" s="1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</row>
    <row r="1823" spans="1:19" x14ac:dyDescent="0.25">
      <c r="A1823" s="1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</row>
    <row r="1824" spans="1:19" x14ac:dyDescent="0.25">
      <c r="A1824" s="1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</row>
    <row r="1825" spans="1:19" x14ac:dyDescent="0.25">
      <c r="A1825" s="1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</row>
    <row r="1826" spans="1:19" x14ac:dyDescent="0.25">
      <c r="A1826" s="1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</row>
    <row r="1827" spans="1:19" x14ac:dyDescent="0.25">
      <c r="A1827" s="1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</row>
    <row r="1828" spans="1:19" x14ac:dyDescent="0.25">
      <c r="A1828" s="1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</row>
    <row r="1829" spans="1:19" x14ac:dyDescent="0.25">
      <c r="A1829" s="1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</row>
    <row r="1830" spans="1:19" x14ac:dyDescent="0.25">
      <c r="A1830" s="1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</row>
    <row r="1831" spans="1:19" x14ac:dyDescent="0.25">
      <c r="A1831" s="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</row>
    <row r="1832" spans="1:19" x14ac:dyDescent="0.25">
      <c r="A1832" s="1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</row>
    <row r="1833" spans="1:19" x14ac:dyDescent="0.25">
      <c r="A1833" s="1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</row>
    <row r="1834" spans="1:19" x14ac:dyDescent="0.25">
      <c r="A1834" s="1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</row>
    <row r="1835" spans="1:19" x14ac:dyDescent="0.25">
      <c r="A1835" s="1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</row>
    <row r="1836" spans="1:19" x14ac:dyDescent="0.25">
      <c r="A1836" s="1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</row>
    <row r="1837" spans="1:19" x14ac:dyDescent="0.25">
      <c r="A1837" s="1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</row>
    <row r="1838" spans="1:19" x14ac:dyDescent="0.25">
      <c r="A1838" s="1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</row>
    <row r="1839" spans="1:19" x14ac:dyDescent="0.25">
      <c r="A1839" s="1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</row>
    <row r="1840" spans="1:19" x14ac:dyDescent="0.25">
      <c r="A1840" s="1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</row>
    <row r="1841" spans="1:19" x14ac:dyDescent="0.25">
      <c r="A1841" s="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</row>
    <row r="1842" spans="1:19" x14ac:dyDescent="0.25">
      <c r="A1842" s="1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</row>
    <row r="1843" spans="1:19" x14ac:dyDescent="0.25">
      <c r="A1843" s="1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</row>
    <row r="1844" spans="1:19" x14ac:dyDescent="0.25">
      <c r="A1844" s="1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</row>
    <row r="1845" spans="1:19" x14ac:dyDescent="0.25">
      <c r="A1845" s="1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</row>
    <row r="1846" spans="1:19" x14ac:dyDescent="0.25">
      <c r="A1846" s="1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</row>
    <row r="1847" spans="1:19" x14ac:dyDescent="0.25">
      <c r="A1847" s="1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</row>
    <row r="1848" spans="1:19" x14ac:dyDescent="0.25">
      <c r="A1848" s="1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</row>
    <row r="1849" spans="1:19" x14ac:dyDescent="0.25">
      <c r="A1849" s="1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</row>
    <row r="1850" spans="1:19" x14ac:dyDescent="0.25">
      <c r="A1850" s="1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</row>
    <row r="1851" spans="1:19" x14ac:dyDescent="0.25">
      <c r="A1851" s="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</row>
    <row r="1852" spans="1:19" x14ac:dyDescent="0.25">
      <c r="A1852" s="1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</row>
    <row r="1853" spans="1:19" x14ac:dyDescent="0.25">
      <c r="A1853" s="1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</row>
    <row r="1854" spans="1:19" x14ac:dyDescent="0.25">
      <c r="A1854" s="1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</row>
    <row r="1855" spans="1:19" x14ac:dyDescent="0.25">
      <c r="A1855" s="1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</row>
    <row r="1856" spans="1:19" x14ac:dyDescent="0.25">
      <c r="A1856" s="1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</row>
    <row r="1857" spans="1:19" x14ac:dyDescent="0.25">
      <c r="A1857" s="1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</row>
    <row r="1858" spans="1:19" x14ac:dyDescent="0.25">
      <c r="A1858" s="1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</row>
    <row r="1859" spans="1:19" x14ac:dyDescent="0.25">
      <c r="A1859" s="1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</row>
    <row r="1860" spans="1:19" x14ac:dyDescent="0.25">
      <c r="A1860" s="1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</row>
    <row r="1861" spans="1:19" x14ac:dyDescent="0.25">
      <c r="A1861" s="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</row>
    <row r="1862" spans="1:19" x14ac:dyDescent="0.25">
      <c r="A1862" s="1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</row>
    <row r="1863" spans="1:19" x14ac:dyDescent="0.25">
      <c r="A1863" s="1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</row>
    <row r="1864" spans="1:19" x14ac:dyDescent="0.25">
      <c r="A1864" s="1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</row>
    <row r="1865" spans="1:19" x14ac:dyDescent="0.25">
      <c r="A1865" s="1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</row>
    <row r="1866" spans="1:19" x14ac:dyDescent="0.25">
      <c r="A1866" s="1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</row>
    <row r="1867" spans="1:19" x14ac:dyDescent="0.25">
      <c r="A1867" s="1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</row>
    <row r="1868" spans="1:19" x14ac:dyDescent="0.25">
      <c r="A1868" s="1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</row>
    <row r="1869" spans="1:19" x14ac:dyDescent="0.25">
      <c r="A1869" s="1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</row>
    <row r="1870" spans="1:19" x14ac:dyDescent="0.25">
      <c r="A1870" s="1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</row>
    <row r="1871" spans="1:19" x14ac:dyDescent="0.25">
      <c r="A1871" s="1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</row>
    <row r="1872" spans="1:19" x14ac:dyDescent="0.25">
      <c r="A1872" s="1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</row>
    <row r="1873" spans="1:19" x14ac:dyDescent="0.25">
      <c r="A1873" s="1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</row>
    <row r="1874" spans="1:19" x14ac:dyDescent="0.25">
      <c r="A1874" s="1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</row>
    <row r="1875" spans="1:19" x14ac:dyDescent="0.25">
      <c r="A1875" s="1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</row>
    <row r="1876" spans="1:19" x14ac:dyDescent="0.25">
      <c r="A1876" s="1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</row>
    <row r="1877" spans="1:19" x14ac:dyDescent="0.25">
      <c r="A1877" s="1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</row>
    <row r="1878" spans="1:19" x14ac:dyDescent="0.25">
      <c r="A1878" s="1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</row>
    <row r="1879" spans="1:19" x14ac:dyDescent="0.25">
      <c r="A1879" s="1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</row>
    <row r="1880" spans="1:19" x14ac:dyDescent="0.25">
      <c r="A1880" s="1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</row>
    <row r="1881" spans="1:19" x14ac:dyDescent="0.25">
      <c r="A1881" s="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</row>
    <row r="1882" spans="1:19" x14ac:dyDescent="0.25">
      <c r="A1882" s="1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</row>
    <row r="1883" spans="1:19" x14ac:dyDescent="0.25">
      <c r="A1883" s="1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</row>
    <row r="1884" spans="1:19" x14ac:dyDescent="0.25">
      <c r="A1884" s="1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</row>
    <row r="1885" spans="1:19" x14ac:dyDescent="0.25">
      <c r="A1885" s="1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</row>
    <row r="1886" spans="1:19" x14ac:dyDescent="0.25">
      <c r="A1886" s="1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</row>
    <row r="1887" spans="1:19" x14ac:dyDescent="0.25">
      <c r="A1887" s="1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</row>
    <row r="1888" spans="1:19" x14ac:dyDescent="0.25">
      <c r="A1888" s="1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</row>
    <row r="1889" spans="1:19" x14ac:dyDescent="0.25">
      <c r="A1889" s="1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</row>
    <row r="1890" spans="1:19" x14ac:dyDescent="0.25">
      <c r="A1890" s="1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</row>
    <row r="1891" spans="1:19" x14ac:dyDescent="0.25">
      <c r="A1891" s="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</row>
    <row r="1892" spans="1:19" x14ac:dyDescent="0.25">
      <c r="A1892" s="1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</row>
    <row r="1893" spans="1:19" x14ac:dyDescent="0.25">
      <c r="A1893" s="1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</row>
    <row r="1894" spans="1:19" x14ac:dyDescent="0.25">
      <c r="A1894" s="1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</row>
    <row r="1895" spans="1:19" x14ac:dyDescent="0.25">
      <c r="A1895" s="1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</row>
    <row r="1896" spans="1:19" x14ac:dyDescent="0.25">
      <c r="A1896" s="1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</row>
    <row r="1897" spans="1:19" x14ac:dyDescent="0.25">
      <c r="A1897" s="1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</row>
    <row r="1898" spans="1:19" x14ac:dyDescent="0.25">
      <c r="A1898" s="1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</row>
    <row r="1899" spans="1:19" x14ac:dyDescent="0.25">
      <c r="A1899" s="1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</row>
    <row r="1900" spans="1:19" x14ac:dyDescent="0.25">
      <c r="A1900" s="1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</row>
    <row r="1901" spans="1:19" x14ac:dyDescent="0.25">
      <c r="A1901" s="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</row>
    <row r="1902" spans="1:19" x14ac:dyDescent="0.25">
      <c r="A1902" s="1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</row>
    <row r="1903" spans="1:19" x14ac:dyDescent="0.25">
      <c r="A1903" s="1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</row>
    <row r="1904" spans="1:19" x14ac:dyDescent="0.25">
      <c r="A1904" s="1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</row>
    <row r="1905" spans="1:19" x14ac:dyDescent="0.25">
      <c r="A1905" s="1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</row>
    <row r="1906" spans="1:19" x14ac:dyDescent="0.25">
      <c r="A1906" s="1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</row>
    <row r="1907" spans="1:19" x14ac:dyDescent="0.25">
      <c r="A1907" s="1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</row>
    <row r="1908" spans="1:19" x14ac:dyDescent="0.25">
      <c r="A1908" s="1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</row>
    <row r="1909" spans="1:19" x14ac:dyDescent="0.25">
      <c r="A1909" s="1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</row>
    <row r="1910" spans="1:19" x14ac:dyDescent="0.25">
      <c r="A1910" s="1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</row>
    <row r="1911" spans="1:19" x14ac:dyDescent="0.25">
      <c r="A1911" s="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</row>
    <row r="1912" spans="1:19" x14ac:dyDescent="0.25">
      <c r="A1912" s="1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</row>
    <row r="1913" spans="1:19" x14ac:dyDescent="0.25">
      <c r="A1913" s="1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</row>
    <row r="1914" spans="1:19" x14ac:dyDescent="0.25">
      <c r="A1914" s="1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</row>
    <row r="1915" spans="1:19" x14ac:dyDescent="0.25">
      <c r="A1915" s="1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</row>
    <row r="1916" spans="1:19" x14ac:dyDescent="0.25">
      <c r="A1916" s="1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</row>
    <row r="1917" spans="1:19" x14ac:dyDescent="0.25">
      <c r="A1917" s="1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</row>
    <row r="1918" spans="1:19" x14ac:dyDescent="0.25">
      <c r="A1918" s="1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</row>
    <row r="1919" spans="1:19" x14ac:dyDescent="0.25">
      <c r="A1919" s="1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</row>
    <row r="1920" spans="1:19" x14ac:dyDescent="0.25">
      <c r="A1920" s="1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</row>
    <row r="1921" spans="1:19" x14ac:dyDescent="0.25">
      <c r="A1921" s="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</row>
    <row r="1922" spans="1:19" x14ac:dyDescent="0.25">
      <c r="A1922" s="1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</row>
    <row r="1923" spans="1:19" x14ac:dyDescent="0.25">
      <c r="A1923" s="1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</row>
    <row r="1924" spans="1:19" x14ac:dyDescent="0.25">
      <c r="A1924" s="1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</row>
    <row r="1925" spans="1:19" x14ac:dyDescent="0.25">
      <c r="A1925" s="1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</row>
    <row r="1926" spans="1:19" x14ac:dyDescent="0.25">
      <c r="A1926" s="1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</row>
    <row r="1927" spans="1:19" x14ac:dyDescent="0.25">
      <c r="A1927" s="1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</row>
    <row r="1928" spans="1:19" x14ac:dyDescent="0.25">
      <c r="A1928" s="1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</row>
    <row r="1929" spans="1:19" x14ac:dyDescent="0.25">
      <c r="A1929" s="1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</row>
    <row r="1930" spans="1:19" x14ac:dyDescent="0.25">
      <c r="A1930" s="1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</row>
    <row r="1931" spans="1:19" x14ac:dyDescent="0.25">
      <c r="A1931" s="1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</row>
    <row r="1932" spans="1:19" x14ac:dyDescent="0.25">
      <c r="A1932" s="1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</row>
    <row r="1933" spans="1:19" x14ac:dyDescent="0.25">
      <c r="A1933" s="1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</row>
    <row r="1934" spans="1:19" x14ac:dyDescent="0.25">
      <c r="A1934" s="1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</row>
    <row r="1935" spans="1:19" x14ac:dyDescent="0.25">
      <c r="A1935" s="1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</row>
    <row r="1936" spans="1:19" x14ac:dyDescent="0.25">
      <c r="A1936" s="1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</row>
    <row r="1937" spans="1:19" x14ac:dyDescent="0.25">
      <c r="A1937" s="1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</row>
    <row r="1938" spans="1:19" x14ac:dyDescent="0.25">
      <c r="A1938" s="1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</row>
    <row r="1939" spans="1:19" x14ac:dyDescent="0.25">
      <c r="A1939" s="1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</row>
    <row r="1940" spans="1:19" x14ac:dyDescent="0.25">
      <c r="A1940" s="1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</row>
    <row r="1941" spans="1:19" x14ac:dyDescent="0.25">
      <c r="A1941" s="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</row>
    <row r="1942" spans="1:19" x14ac:dyDescent="0.25">
      <c r="A1942" s="1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</row>
    <row r="1943" spans="1:19" x14ac:dyDescent="0.25">
      <c r="A1943" s="1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</row>
    <row r="1944" spans="1:19" x14ac:dyDescent="0.25">
      <c r="A1944" s="1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</row>
    <row r="1945" spans="1:19" x14ac:dyDescent="0.25">
      <c r="A1945" s="1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</row>
    <row r="1946" spans="1:19" x14ac:dyDescent="0.25">
      <c r="A1946" s="1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</row>
    <row r="1947" spans="1:19" x14ac:dyDescent="0.25">
      <c r="A1947" s="1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</row>
    <row r="1948" spans="1:19" x14ac:dyDescent="0.25">
      <c r="A1948" s="1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</row>
    <row r="1949" spans="1:19" x14ac:dyDescent="0.25">
      <c r="A1949" s="1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</row>
    <row r="1950" spans="1:19" x14ac:dyDescent="0.25">
      <c r="A1950" s="1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</row>
    <row r="1951" spans="1:19" x14ac:dyDescent="0.25">
      <c r="A1951" s="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</row>
    <row r="1952" spans="1:19" x14ac:dyDescent="0.25">
      <c r="A1952" s="1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</row>
    <row r="1953" spans="1:19" x14ac:dyDescent="0.25">
      <c r="A1953" s="1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</row>
    <row r="1954" spans="1:19" x14ac:dyDescent="0.25">
      <c r="A1954" s="1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</row>
    <row r="1955" spans="1:19" x14ac:dyDescent="0.25">
      <c r="A1955" s="1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</row>
    <row r="1956" spans="1:19" x14ac:dyDescent="0.25">
      <c r="A1956" s="1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</row>
    <row r="1957" spans="1:19" x14ac:dyDescent="0.25">
      <c r="A1957" s="1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</row>
    <row r="1958" spans="1:19" x14ac:dyDescent="0.25">
      <c r="A1958" s="1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</row>
    <row r="1959" spans="1:19" x14ac:dyDescent="0.25">
      <c r="A1959" s="1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</row>
    <row r="1960" spans="1:19" x14ac:dyDescent="0.25">
      <c r="A1960" s="1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</row>
    <row r="1961" spans="1:19" x14ac:dyDescent="0.25">
      <c r="A1961" s="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</row>
    <row r="1962" spans="1:19" x14ac:dyDescent="0.25">
      <c r="A1962" s="1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</row>
    <row r="1963" spans="1:19" x14ac:dyDescent="0.25">
      <c r="A1963" s="1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</row>
    <row r="1964" spans="1:19" x14ac:dyDescent="0.25">
      <c r="A1964" s="1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</row>
    <row r="1965" spans="1:19" x14ac:dyDescent="0.25">
      <c r="A1965" s="1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</row>
    <row r="1966" spans="1:19" x14ac:dyDescent="0.25">
      <c r="A1966" s="1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</row>
    <row r="1967" spans="1:19" x14ac:dyDescent="0.25">
      <c r="A1967" s="1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</row>
    <row r="1968" spans="1:19" x14ac:dyDescent="0.25">
      <c r="A1968" s="1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</row>
    <row r="1969" spans="1:19" x14ac:dyDescent="0.25">
      <c r="A1969" s="1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</row>
    <row r="1970" spans="1:19" x14ac:dyDescent="0.25">
      <c r="A1970" s="1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</row>
    <row r="1971" spans="1:19" x14ac:dyDescent="0.25">
      <c r="A1971" s="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</row>
    <row r="1972" spans="1:19" x14ac:dyDescent="0.25">
      <c r="A1972" s="1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</row>
    <row r="1973" spans="1:19" x14ac:dyDescent="0.25">
      <c r="A1973" s="1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</row>
    <row r="1974" spans="1:19" x14ac:dyDescent="0.25">
      <c r="A1974" s="1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</row>
    <row r="1975" spans="1:19" x14ac:dyDescent="0.25">
      <c r="A1975" s="1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</row>
    <row r="1976" spans="1:19" x14ac:dyDescent="0.25">
      <c r="A1976" s="1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</row>
    <row r="1977" spans="1:19" x14ac:dyDescent="0.25">
      <c r="A1977" s="1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</row>
    <row r="1978" spans="1:19" x14ac:dyDescent="0.25">
      <c r="A1978" s="1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</row>
    <row r="1979" spans="1:19" x14ac:dyDescent="0.25">
      <c r="A1979" s="1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</row>
    <row r="1980" spans="1:19" x14ac:dyDescent="0.25">
      <c r="A1980" s="1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</row>
    <row r="1981" spans="1:19" x14ac:dyDescent="0.25">
      <c r="A1981" s="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</row>
    <row r="1982" spans="1:19" x14ac:dyDescent="0.25">
      <c r="A1982" s="1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</row>
    <row r="1983" spans="1:19" x14ac:dyDescent="0.25">
      <c r="A1983" s="1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</row>
    <row r="1984" spans="1:19" x14ac:dyDescent="0.25">
      <c r="A1984" s="1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</row>
    <row r="1985" spans="1:19" x14ac:dyDescent="0.25">
      <c r="A1985" s="1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</row>
    <row r="1986" spans="1:19" x14ac:dyDescent="0.25">
      <c r="A1986" s="1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</row>
    <row r="1987" spans="1:19" x14ac:dyDescent="0.25">
      <c r="A1987" s="1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</row>
    <row r="1988" spans="1:19" x14ac:dyDescent="0.25">
      <c r="A1988" s="1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</row>
    <row r="1989" spans="1:19" x14ac:dyDescent="0.25">
      <c r="A1989" s="1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</row>
    <row r="1990" spans="1:19" x14ac:dyDescent="0.25">
      <c r="A1990" s="1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</row>
    <row r="1991" spans="1:19" x14ac:dyDescent="0.25">
      <c r="A1991" s="1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</row>
    <row r="1992" spans="1:19" x14ac:dyDescent="0.25">
      <c r="A1992" s="1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</row>
    <row r="1993" spans="1:19" x14ac:dyDescent="0.25">
      <c r="A1993" s="1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</row>
    <row r="1994" spans="1:19" x14ac:dyDescent="0.25">
      <c r="A1994" s="1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</row>
    <row r="1995" spans="1:19" x14ac:dyDescent="0.25">
      <c r="A1995" s="1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</row>
    <row r="1996" spans="1:19" x14ac:dyDescent="0.25">
      <c r="A1996" s="1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</row>
    <row r="1997" spans="1:19" x14ac:dyDescent="0.25">
      <c r="A1997" s="1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</row>
    <row r="1998" spans="1:19" x14ac:dyDescent="0.25">
      <c r="A1998" s="1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</row>
    <row r="1999" spans="1:19" x14ac:dyDescent="0.25">
      <c r="A1999" s="1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</row>
    <row r="2000" spans="1:19" x14ac:dyDescent="0.25">
      <c r="A2000" s="1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</row>
    <row r="2001" spans="1:19" x14ac:dyDescent="0.25">
      <c r="A2001" s="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</row>
    <row r="2002" spans="1:19" x14ac:dyDescent="0.25">
      <c r="A2002" s="1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</row>
    <row r="2003" spans="1:19" x14ac:dyDescent="0.25">
      <c r="A2003" s="1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</row>
    <row r="2004" spans="1:19" x14ac:dyDescent="0.25">
      <c r="A2004" s="1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</row>
    <row r="2005" spans="1:19" x14ac:dyDescent="0.25">
      <c r="A2005" s="1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</row>
    <row r="2006" spans="1:19" x14ac:dyDescent="0.25">
      <c r="A2006" s="1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</row>
    <row r="2007" spans="1:19" x14ac:dyDescent="0.25">
      <c r="A2007" s="1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</row>
    <row r="2008" spans="1:19" x14ac:dyDescent="0.25">
      <c r="A2008" s="1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</row>
    <row r="2009" spans="1:19" x14ac:dyDescent="0.25">
      <c r="A2009" s="1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</row>
    <row r="2010" spans="1:19" x14ac:dyDescent="0.25">
      <c r="A2010" s="1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</row>
    <row r="2011" spans="1:19" x14ac:dyDescent="0.25">
      <c r="A2011" s="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</row>
    <row r="2012" spans="1:19" x14ac:dyDescent="0.25">
      <c r="A2012" s="1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</row>
    <row r="2013" spans="1:19" x14ac:dyDescent="0.25">
      <c r="A2013" s="1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</row>
    <row r="2014" spans="1:19" x14ac:dyDescent="0.25">
      <c r="A2014" s="1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</row>
    <row r="2015" spans="1:19" x14ac:dyDescent="0.25">
      <c r="A2015" s="1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</row>
    <row r="2016" spans="1:19" x14ac:dyDescent="0.25">
      <c r="A2016" s="1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</row>
    <row r="2017" spans="1:19" x14ac:dyDescent="0.25">
      <c r="A2017" s="1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</row>
    <row r="2018" spans="1:19" x14ac:dyDescent="0.25">
      <c r="A2018" s="1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</row>
    <row r="2019" spans="1:19" x14ac:dyDescent="0.25">
      <c r="A2019" s="1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</row>
    <row r="2020" spans="1:19" x14ac:dyDescent="0.25">
      <c r="A2020" s="1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</row>
    <row r="2021" spans="1:19" x14ac:dyDescent="0.25">
      <c r="A2021" s="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</row>
    <row r="2022" spans="1:19" x14ac:dyDescent="0.25">
      <c r="A2022" s="1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</row>
    <row r="2023" spans="1:19" x14ac:dyDescent="0.25">
      <c r="A2023" s="1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</row>
    <row r="2024" spans="1:19" x14ac:dyDescent="0.25">
      <c r="A2024" s="1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</row>
    <row r="2025" spans="1:19" x14ac:dyDescent="0.25">
      <c r="A2025" s="1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</row>
    <row r="2026" spans="1:19" x14ac:dyDescent="0.25">
      <c r="A2026" s="1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</row>
    <row r="2027" spans="1:19" x14ac:dyDescent="0.25">
      <c r="A2027" s="1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</row>
    <row r="2028" spans="1:19" x14ac:dyDescent="0.25">
      <c r="A2028" s="1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</row>
    <row r="2029" spans="1:19" x14ac:dyDescent="0.25">
      <c r="A2029" s="1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</row>
    <row r="2030" spans="1:19" x14ac:dyDescent="0.25">
      <c r="A2030" s="1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</row>
    <row r="2031" spans="1:19" x14ac:dyDescent="0.25">
      <c r="A2031" s="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</row>
    <row r="2032" spans="1:19" x14ac:dyDescent="0.25">
      <c r="A2032" s="1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</row>
    <row r="2033" spans="1:19" x14ac:dyDescent="0.25">
      <c r="A2033" s="1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</row>
    <row r="2034" spans="1:19" x14ac:dyDescent="0.25">
      <c r="A2034" s="1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</row>
    <row r="2035" spans="1:19" x14ac:dyDescent="0.25">
      <c r="A2035" s="1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</row>
    <row r="2036" spans="1:19" x14ac:dyDescent="0.25">
      <c r="A2036" s="1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</row>
    <row r="2037" spans="1:19" x14ac:dyDescent="0.25">
      <c r="A2037" s="1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</row>
    <row r="2038" spans="1:19" x14ac:dyDescent="0.25">
      <c r="A2038" s="1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</row>
    <row r="2039" spans="1:19" x14ac:dyDescent="0.25">
      <c r="A2039" s="1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</row>
    <row r="2040" spans="1:19" x14ac:dyDescent="0.25">
      <c r="A2040" s="1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</row>
    <row r="2041" spans="1:19" x14ac:dyDescent="0.25">
      <c r="A2041" s="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</row>
    <row r="2042" spans="1:19" x14ac:dyDescent="0.25">
      <c r="A2042" s="1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</row>
    <row r="2043" spans="1:19" x14ac:dyDescent="0.25">
      <c r="A2043" s="1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</row>
    <row r="2044" spans="1:19" x14ac:dyDescent="0.25">
      <c r="A2044" s="1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</row>
    <row r="2045" spans="1:19" x14ac:dyDescent="0.25">
      <c r="A2045" s="1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</row>
    <row r="2046" spans="1:19" x14ac:dyDescent="0.25">
      <c r="A2046" s="1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</row>
    <row r="2047" spans="1:19" x14ac:dyDescent="0.25">
      <c r="A2047" s="1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</row>
    <row r="2048" spans="1:19" x14ac:dyDescent="0.25">
      <c r="A2048" s="1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</row>
    <row r="2049" spans="1:19" x14ac:dyDescent="0.25">
      <c r="A2049" s="1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</row>
    <row r="2050" spans="1:19" x14ac:dyDescent="0.25">
      <c r="A2050" s="1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</row>
    <row r="2051" spans="1:19" x14ac:dyDescent="0.25">
      <c r="A2051" s="1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</row>
    <row r="2052" spans="1:19" x14ac:dyDescent="0.25">
      <c r="A2052" s="1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</row>
    <row r="2053" spans="1:19" x14ac:dyDescent="0.25">
      <c r="A2053" s="1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</row>
    <row r="2054" spans="1:19" x14ac:dyDescent="0.25">
      <c r="A2054" s="1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</row>
    <row r="2055" spans="1:19" x14ac:dyDescent="0.25">
      <c r="A2055" s="1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</row>
    <row r="2056" spans="1:19" x14ac:dyDescent="0.25">
      <c r="A2056" s="1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</row>
    <row r="2057" spans="1:19" x14ac:dyDescent="0.25">
      <c r="A2057" s="1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</row>
    <row r="2058" spans="1:19" x14ac:dyDescent="0.25">
      <c r="A2058" s="1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</row>
    <row r="2059" spans="1:19" x14ac:dyDescent="0.25">
      <c r="A2059" s="1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</row>
    <row r="2060" spans="1:19" x14ac:dyDescent="0.25">
      <c r="A2060" s="1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</row>
    <row r="2061" spans="1:19" x14ac:dyDescent="0.25">
      <c r="A2061" s="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</row>
    <row r="2062" spans="1:19" x14ac:dyDescent="0.25">
      <c r="A2062" s="1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</row>
    <row r="2063" spans="1:19" x14ac:dyDescent="0.25">
      <c r="A2063" s="1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</row>
    <row r="2064" spans="1:19" x14ac:dyDescent="0.25">
      <c r="A2064" s="1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</row>
    <row r="2065" spans="1:19" x14ac:dyDescent="0.25">
      <c r="A2065" s="1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</row>
    <row r="2066" spans="1:19" x14ac:dyDescent="0.25">
      <c r="A2066" s="1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</row>
    <row r="2067" spans="1:19" x14ac:dyDescent="0.25">
      <c r="A2067" s="1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</row>
    <row r="2068" spans="1:19" x14ac:dyDescent="0.25">
      <c r="A2068" s="1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</row>
    <row r="2069" spans="1:19" x14ac:dyDescent="0.25">
      <c r="A2069" s="1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</row>
    <row r="2070" spans="1:19" x14ac:dyDescent="0.25">
      <c r="A2070" s="1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</row>
    <row r="2071" spans="1:19" x14ac:dyDescent="0.25">
      <c r="A2071" s="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</row>
    <row r="2072" spans="1:19" x14ac:dyDescent="0.25">
      <c r="A2072" s="1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</row>
    <row r="2073" spans="1:19" x14ac:dyDescent="0.25">
      <c r="A2073" s="1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</row>
    <row r="2074" spans="1:19" x14ac:dyDescent="0.25">
      <c r="A2074" s="1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</row>
    <row r="2075" spans="1:19" x14ac:dyDescent="0.25">
      <c r="A2075" s="1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</row>
    <row r="2076" spans="1:19" x14ac:dyDescent="0.25">
      <c r="A2076" s="1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</row>
    <row r="2077" spans="1:19" x14ac:dyDescent="0.25">
      <c r="A2077" s="1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</row>
    <row r="2078" spans="1:19" x14ac:dyDescent="0.25">
      <c r="A2078" s="1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</row>
    <row r="2079" spans="1:19" x14ac:dyDescent="0.25">
      <c r="A2079" s="1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</row>
    <row r="2080" spans="1:19" x14ac:dyDescent="0.25">
      <c r="A2080" s="1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</row>
    <row r="2081" spans="1:19" x14ac:dyDescent="0.25">
      <c r="A2081" s="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</row>
    <row r="2082" spans="1:19" x14ac:dyDescent="0.25">
      <c r="A2082" s="1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</row>
    <row r="2083" spans="1:19" x14ac:dyDescent="0.25">
      <c r="A2083" s="1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</row>
    <row r="2084" spans="1:19" x14ac:dyDescent="0.25">
      <c r="A2084" s="1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</row>
    <row r="2085" spans="1:19" x14ac:dyDescent="0.25">
      <c r="A2085" s="1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</row>
    <row r="2086" spans="1:19" x14ac:dyDescent="0.25">
      <c r="A2086" s="1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</row>
    <row r="2087" spans="1:19" x14ac:dyDescent="0.25">
      <c r="A2087" s="1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</row>
    <row r="2088" spans="1:19" x14ac:dyDescent="0.25">
      <c r="A2088" s="1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</row>
    <row r="2089" spans="1:19" x14ac:dyDescent="0.25">
      <c r="A2089" s="1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</row>
    <row r="2090" spans="1:19" x14ac:dyDescent="0.25">
      <c r="A2090" s="1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</row>
    <row r="2091" spans="1:19" x14ac:dyDescent="0.25">
      <c r="A2091" s="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</row>
    <row r="2092" spans="1:19" x14ac:dyDescent="0.25">
      <c r="A2092" s="1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</row>
    <row r="2093" spans="1:19" x14ac:dyDescent="0.25">
      <c r="A2093" s="1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</row>
    <row r="2094" spans="1:19" x14ac:dyDescent="0.25">
      <c r="A2094" s="1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</row>
    <row r="2095" spans="1:19" x14ac:dyDescent="0.25">
      <c r="A2095" s="1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</row>
    <row r="2096" spans="1:19" x14ac:dyDescent="0.25">
      <c r="A2096" s="1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</row>
    <row r="2097" spans="1:19" x14ac:dyDescent="0.25">
      <c r="A2097" s="1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</row>
    <row r="2098" spans="1:19" x14ac:dyDescent="0.25">
      <c r="A2098" s="1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</row>
    <row r="2099" spans="1:19" x14ac:dyDescent="0.25">
      <c r="A2099" s="1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</row>
    <row r="2100" spans="1:19" x14ac:dyDescent="0.25">
      <c r="A2100" s="1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</row>
    <row r="2101" spans="1:19" x14ac:dyDescent="0.25">
      <c r="A2101" s="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</row>
    <row r="2102" spans="1:19" x14ac:dyDescent="0.25">
      <c r="A2102" s="1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</row>
    <row r="2103" spans="1:19" x14ac:dyDescent="0.25">
      <c r="A2103" s="1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</row>
    <row r="2104" spans="1:19" x14ac:dyDescent="0.25">
      <c r="A2104" s="1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</row>
    <row r="2105" spans="1:19" x14ac:dyDescent="0.25">
      <c r="A2105" s="1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</row>
    <row r="2106" spans="1:19" x14ac:dyDescent="0.25">
      <c r="A2106" s="1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</row>
    <row r="2107" spans="1:19" x14ac:dyDescent="0.25">
      <c r="A2107" s="1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</row>
    <row r="2108" spans="1:19" x14ac:dyDescent="0.25">
      <c r="A2108" s="1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</row>
    <row r="2109" spans="1:19" x14ac:dyDescent="0.25">
      <c r="A2109" s="1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</row>
    <row r="2110" spans="1:19" x14ac:dyDescent="0.25">
      <c r="A2110" s="1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</row>
    <row r="2111" spans="1:19" x14ac:dyDescent="0.25">
      <c r="A2111" s="1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</row>
    <row r="2112" spans="1:19" x14ac:dyDescent="0.25">
      <c r="A2112" s="1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</row>
    <row r="2113" spans="1:19" x14ac:dyDescent="0.25">
      <c r="A2113" s="1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</row>
    <row r="2114" spans="1:19" x14ac:dyDescent="0.25">
      <c r="A2114" s="1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</row>
    <row r="2115" spans="1:19" x14ac:dyDescent="0.25">
      <c r="A2115" s="1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</row>
    <row r="2116" spans="1:19" x14ac:dyDescent="0.25">
      <c r="A2116" s="1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</row>
    <row r="2117" spans="1:19" x14ac:dyDescent="0.25">
      <c r="A2117" s="1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</row>
    <row r="2118" spans="1:19" x14ac:dyDescent="0.25">
      <c r="A2118" s="1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</row>
    <row r="2119" spans="1:19" x14ac:dyDescent="0.25">
      <c r="A2119" s="1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</row>
    <row r="2120" spans="1:19" x14ac:dyDescent="0.25">
      <c r="A2120" s="1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</row>
    <row r="2121" spans="1:19" x14ac:dyDescent="0.25">
      <c r="A2121" s="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</row>
    <row r="2122" spans="1:19" x14ac:dyDescent="0.25">
      <c r="A2122" s="1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</row>
    <row r="2123" spans="1:19" x14ac:dyDescent="0.25">
      <c r="A2123" s="1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</row>
    <row r="2124" spans="1:19" x14ac:dyDescent="0.25">
      <c r="A2124" s="1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</row>
    <row r="2125" spans="1:19" x14ac:dyDescent="0.25">
      <c r="A2125" s="1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</row>
    <row r="2126" spans="1:19" x14ac:dyDescent="0.25">
      <c r="A2126" s="1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</row>
    <row r="2127" spans="1:19" x14ac:dyDescent="0.25">
      <c r="A2127" s="1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</row>
    <row r="2128" spans="1:19" x14ac:dyDescent="0.25">
      <c r="A2128" s="1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</row>
    <row r="2129" spans="1:19" x14ac:dyDescent="0.25">
      <c r="A2129" s="1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</row>
    <row r="2130" spans="1:19" x14ac:dyDescent="0.25">
      <c r="A2130" s="1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</row>
    <row r="2131" spans="1:19" x14ac:dyDescent="0.25">
      <c r="A2131" s="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</row>
    <row r="2132" spans="1:19" x14ac:dyDescent="0.25">
      <c r="A2132" s="1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</row>
    <row r="2133" spans="1:19" x14ac:dyDescent="0.25">
      <c r="A2133" s="1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</row>
    <row r="2134" spans="1:19" x14ac:dyDescent="0.25">
      <c r="A2134" s="1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</row>
    <row r="2135" spans="1:19" x14ac:dyDescent="0.25">
      <c r="A2135" s="1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</row>
    <row r="2136" spans="1:19" x14ac:dyDescent="0.25">
      <c r="A2136" s="1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</row>
    <row r="2137" spans="1:19" x14ac:dyDescent="0.25">
      <c r="A2137" s="1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</row>
    <row r="2138" spans="1:19" x14ac:dyDescent="0.25">
      <c r="A2138" s="1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</row>
    <row r="2139" spans="1:19" x14ac:dyDescent="0.25">
      <c r="A2139" s="1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</row>
    <row r="2140" spans="1:19" x14ac:dyDescent="0.25">
      <c r="A2140" s="1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</row>
    <row r="2141" spans="1:19" x14ac:dyDescent="0.25">
      <c r="A2141" s="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</row>
    <row r="2142" spans="1:19" x14ac:dyDescent="0.25">
      <c r="A2142" s="1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</row>
    <row r="2143" spans="1:19" x14ac:dyDescent="0.25">
      <c r="A2143" s="1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</row>
    <row r="2144" spans="1:19" x14ac:dyDescent="0.25">
      <c r="A2144" s="1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</row>
    <row r="2145" spans="1:19" x14ac:dyDescent="0.25">
      <c r="A2145" s="1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</row>
    <row r="2146" spans="1:19" x14ac:dyDescent="0.25">
      <c r="A2146" s="1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</row>
    <row r="2147" spans="1:19" x14ac:dyDescent="0.25">
      <c r="A2147" s="1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</row>
    <row r="2148" spans="1:19" x14ac:dyDescent="0.25">
      <c r="A2148" s="1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</row>
    <row r="2149" spans="1:19" x14ac:dyDescent="0.25">
      <c r="A2149" s="1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</row>
    <row r="2150" spans="1:19" x14ac:dyDescent="0.25">
      <c r="A2150" s="1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</row>
    <row r="2151" spans="1:19" x14ac:dyDescent="0.25">
      <c r="A2151" s="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</row>
    <row r="2152" spans="1:19" x14ac:dyDescent="0.25">
      <c r="A2152" s="1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</row>
    <row r="2153" spans="1:19" x14ac:dyDescent="0.25">
      <c r="A2153" s="1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</row>
    <row r="2154" spans="1:19" x14ac:dyDescent="0.25">
      <c r="A2154" s="1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</row>
    <row r="2155" spans="1:19" x14ac:dyDescent="0.25">
      <c r="A2155" s="1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</row>
    <row r="2156" spans="1:19" x14ac:dyDescent="0.25">
      <c r="A2156" s="1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</row>
    <row r="2157" spans="1:19" x14ac:dyDescent="0.25">
      <c r="A2157" s="1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</row>
    <row r="2158" spans="1:19" x14ac:dyDescent="0.25">
      <c r="A2158" s="1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</row>
    <row r="2159" spans="1:19" x14ac:dyDescent="0.25">
      <c r="A2159" s="1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</row>
    <row r="2160" spans="1:19" x14ac:dyDescent="0.25">
      <c r="A2160" s="1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</row>
    <row r="2161" spans="1:19" x14ac:dyDescent="0.25">
      <c r="A2161" s="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</row>
    <row r="2162" spans="1:19" x14ac:dyDescent="0.25">
      <c r="A2162" s="1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</row>
    <row r="2163" spans="1:19" x14ac:dyDescent="0.25">
      <c r="A2163" s="1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</row>
    <row r="2164" spans="1:19" x14ac:dyDescent="0.25">
      <c r="A2164" s="1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</row>
    <row r="2165" spans="1:19" x14ac:dyDescent="0.25">
      <c r="A2165" s="1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</row>
    <row r="2166" spans="1:19" x14ac:dyDescent="0.25">
      <c r="A2166" s="1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</row>
    <row r="2167" spans="1:19" x14ac:dyDescent="0.25">
      <c r="A2167" s="1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</row>
    <row r="2168" spans="1:19" x14ac:dyDescent="0.25">
      <c r="A2168" s="1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</row>
    <row r="2169" spans="1:19" x14ac:dyDescent="0.25">
      <c r="A2169" s="1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</row>
    <row r="2170" spans="1:19" x14ac:dyDescent="0.25">
      <c r="A2170" s="1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</row>
    <row r="2171" spans="1:19" x14ac:dyDescent="0.25">
      <c r="A2171" s="1"/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</row>
    <row r="2172" spans="1:19" x14ac:dyDescent="0.25">
      <c r="A2172" s="1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</row>
    <row r="2173" spans="1:19" x14ac:dyDescent="0.25">
      <c r="A2173" s="1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</row>
    <row r="2174" spans="1:19" x14ac:dyDescent="0.25">
      <c r="A2174" s="1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</row>
    <row r="2175" spans="1:19" x14ac:dyDescent="0.25">
      <c r="A2175" s="1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</row>
    <row r="2176" spans="1:19" x14ac:dyDescent="0.25">
      <c r="A2176" s="1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</row>
    <row r="2177" spans="1:19" x14ac:dyDescent="0.25">
      <c r="A2177" s="1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</row>
    <row r="2178" spans="1:19" x14ac:dyDescent="0.25">
      <c r="A2178" s="1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</row>
    <row r="2179" spans="1:19" x14ac:dyDescent="0.25">
      <c r="A2179" s="1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</row>
    <row r="2180" spans="1:19" x14ac:dyDescent="0.25">
      <c r="A2180" s="1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</row>
    <row r="2181" spans="1:19" x14ac:dyDescent="0.25">
      <c r="A2181" s="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</row>
    <row r="2182" spans="1:19" x14ac:dyDescent="0.25">
      <c r="A2182" s="1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</row>
    <row r="2183" spans="1:19" x14ac:dyDescent="0.25">
      <c r="A2183" s="1"/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</row>
    <row r="2184" spans="1:19" x14ac:dyDescent="0.25">
      <c r="A2184" s="1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</row>
    <row r="2185" spans="1:19" x14ac:dyDescent="0.25">
      <c r="A2185" s="1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</row>
    <row r="2186" spans="1:19" x14ac:dyDescent="0.25">
      <c r="A2186" s="1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</row>
    <row r="2187" spans="1:19" x14ac:dyDescent="0.25">
      <c r="A2187" s="1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</row>
    <row r="2188" spans="1:19" x14ac:dyDescent="0.25">
      <c r="A2188" s="1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</row>
    <row r="2189" spans="1:19" x14ac:dyDescent="0.25">
      <c r="A2189" s="1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</row>
    <row r="2190" spans="1:19" x14ac:dyDescent="0.25">
      <c r="A2190" s="1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</row>
    <row r="2191" spans="1:19" x14ac:dyDescent="0.25">
      <c r="A2191" s="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</row>
    <row r="2192" spans="1:19" x14ac:dyDescent="0.25">
      <c r="A2192" s="1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</row>
    <row r="2193" spans="1:19" x14ac:dyDescent="0.25">
      <c r="A2193" s="1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</row>
    <row r="2194" spans="1:19" x14ac:dyDescent="0.25">
      <c r="A2194" s="1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</row>
    <row r="2195" spans="1:19" x14ac:dyDescent="0.25">
      <c r="A2195" s="1"/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</row>
    <row r="2196" spans="1:19" x14ac:dyDescent="0.25">
      <c r="A2196" s="1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</row>
    <row r="2197" spans="1:19" x14ac:dyDescent="0.25">
      <c r="A2197" s="1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</row>
    <row r="2198" spans="1:19" x14ac:dyDescent="0.25">
      <c r="A2198" s="1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</row>
    <row r="2199" spans="1:19" x14ac:dyDescent="0.25">
      <c r="A2199" s="1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</row>
    <row r="2200" spans="1:19" x14ac:dyDescent="0.25">
      <c r="A2200" s="1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</row>
    <row r="2201" spans="1:19" x14ac:dyDescent="0.25">
      <c r="A2201" s="1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</row>
    <row r="2202" spans="1:19" x14ac:dyDescent="0.25">
      <c r="A2202" s="1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</row>
    <row r="2203" spans="1:19" x14ac:dyDescent="0.25">
      <c r="A2203" s="1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</row>
    <row r="2204" spans="1:19" x14ac:dyDescent="0.25">
      <c r="A2204" s="1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</row>
    <row r="2205" spans="1:19" x14ac:dyDescent="0.25">
      <c r="A2205" s="1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</row>
    <row r="2206" spans="1:19" x14ac:dyDescent="0.25">
      <c r="A2206" s="1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</row>
    <row r="2207" spans="1:19" x14ac:dyDescent="0.25">
      <c r="A2207" s="1"/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</row>
    <row r="2208" spans="1:19" x14ac:dyDescent="0.25">
      <c r="A2208" s="1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</row>
    <row r="2209" spans="1:19" x14ac:dyDescent="0.25">
      <c r="A2209" s="1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</row>
    <row r="2210" spans="1:19" x14ac:dyDescent="0.25">
      <c r="A2210" s="1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</row>
    <row r="2211" spans="1:19" x14ac:dyDescent="0.25">
      <c r="A2211" s="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</row>
    <row r="2212" spans="1:19" x14ac:dyDescent="0.25">
      <c r="A2212" s="1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</row>
    <row r="2213" spans="1:19" x14ac:dyDescent="0.25">
      <c r="A2213" s="1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</row>
    <row r="2214" spans="1:19" x14ac:dyDescent="0.25">
      <c r="A2214" s="1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</row>
    <row r="2215" spans="1:19" x14ac:dyDescent="0.25">
      <c r="A2215" s="1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</row>
    <row r="2216" spans="1:19" x14ac:dyDescent="0.25">
      <c r="A2216" s="1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</row>
    <row r="2217" spans="1:19" x14ac:dyDescent="0.25">
      <c r="A2217" s="1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</row>
    <row r="2218" spans="1:19" x14ac:dyDescent="0.25">
      <c r="A2218" s="1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</row>
    <row r="2219" spans="1:19" x14ac:dyDescent="0.25">
      <c r="A2219" s="1"/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</row>
    <row r="2220" spans="1:19" x14ac:dyDescent="0.25">
      <c r="A2220" s="1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</row>
    <row r="2221" spans="1:19" x14ac:dyDescent="0.25">
      <c r="A2221" s="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</row>
    <row r="2222" spans="1:19" x14ac:dyDescent="0.25">
      <c r="A2222" s="1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</row>
    <row r="2223" spans="1:19" x14ac:dyDescent="0.25">
      <c r="A2223" s="1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</row>
    <row r="2224" spans="1:19" x14ac:dyDescent="0.25">
      <c r="A2224" s="1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</row>
    <row r="2225" spans="1:19" x14ac:dyDescent="0.25">
      <c r="A2225" s="1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</row>
    <row r="2226" spans="1:19" x14ac:dyDescent="0.25">
      <c r="A2226" s="1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</row>
    <row r="2227" spans="1:19" x14ac:dyDescent="0.25">
      <c r="A2227" s="1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</row>
    <row r="2228" spans="1:19" x14ac:dyDescent="0.25">
      <c r="A2228" s="1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</row>
    <row r="2229" spans="1:19" x14ac:dyDescent="0.25">
      <c r="A2229" s="1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</row>
    <row r="2230" spans="1:19" x14ac:dyDescent="0.25">
      <c r="A2230" s="1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</row>
    <row r="2231" spans="1:19" x14ac:dyDescent="0.25">
      <c r="A2231" s="1"/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</row>
    <row r="2232" spans="1:19" x14ac:dyDescent="0.25">
      <c r="A2232" s="1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</row>
    <row r="2233" spans="1:19" x14ac:dyDescent="0.25">
      <c r="A2233" s="1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</row>
    <row r="2234" spans="1:19" x14ac:dyDescent="0.25">
      <c r="A2234" s="1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</row>
    <row r="2235" spans="1:19" x14ac:dyDescent="0.25">
      <c r="A2235" s="1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</row>
    <row r="2236" spans="1:19" x14ac:dyDescent="0.25">
      <c r="A2236" s="1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</row>
    <row r="2237" spans="1:19" x14ac:dyDescent="0.25">
      <c r="A2237" s="1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</row>
    <row r="2238" spans="1:19" x14ac:dyDescent="0.25">
      <c r="A2238" s="1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</row>
    <row r="2239" spans="1:19" x14ac:dyDescent="0.25">
      <c r="A2239" s="1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</row>
    <row r="2240" spans="1:19" x14ac:dyDescent="0.25">
      <c r="A2240" s="1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</row>
    <row r="2241" spans="1:19" x14ac:dyDescent="0.25">
      <c r="A2241" s="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</row>
    <row r="2242" spans="1:19" x14ac:dyDescent="0.25">
      <c r="A2242" s="1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</row>
    <row r="2243" spans="1:19" x14ac:dyDescent="0.25">
      <c r="A2243" s="1"/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</row>
    <row r="2244" spans="1:19" x14ac:dyDescent="0.25">
      <c r="A2244" s="1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</row>
    <row r="2245" spans="1:19" x14ac:dyDescent="0.25">
      <c r="A2245" s="1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</row>
    <row r="2246" spans="1:19" x14ac:dyDescent="0.25">
      <c r="A2246" s="1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</row>
    <row r="2247" spans="1:19" x14ac:dyDescent="0.25">
      <c r="A2247" s="1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</row>
    <row r="2248" spans="1:19" x14ac:dyDescent="0.25">
      <c r="A2248" s="1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</row>
    <row r="2249" spans="1:19" x14ac:dyDescent="0.25">
      <c r="A2249" s="1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</row>
    <row r="2250" spans="1:19" x14ac:dyDescent="0.25">
      <c r="A2250" s="1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</row>
    <row r="2251" spans="1:19" x14ac:dyDescent="0.25">
      <c r="A2251" s="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</row>
    <row r="2252" spans="1:19" x14ac:dyDescent="0.25">
      <c r="A2252" s="1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</row>
    <row r="2253" spans="1:19" x14ac:dyDescent="0.25">
      <c r="A2253" s="1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</row>
    <row r="2254" spans="1:19" x14ac:dyDescent="0.25">
      <c r="A2254" s="1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</row>
    <row r="2255" spans="1:19" x14ac:dyDescent="0.25">
      <c r="A2255" s="1"/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</row>
    <row r="2256" spans="1:19" x14ac:dyDescent="0.25">
      <c r="A2256" s="1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</row>
    <row r="2257" spans="1:19" x14ac:dyDescent="0.25">
      <c r="A2257" s="1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</row>
    <row r="2258" spans="1:19" x14ac:dyDescent="0.25">
      <c r="A2258" s="1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</row>
    <row r="2259" spans="1:19" x14ac:dyDescent="0.25">
      <c r="A2259" s="1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</row>
    <row r="2260" spans="1:19" x14ac:dyDescent="0.25">
      <c r="A2260" s="1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</row>
    <row r="2261" spans="1:19" x14ac:dyDescent="0.25">
      <c r="A2261" s="1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</row>
    <row r="2262" spans="1:19" x14ac:dyDescent="0.25">
      <c r="A2262" s="1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</row>
    <row r="2263" spans="1:19" x14ac:dyDescent="0.25">
      <c r="A2263" s="1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</row>
    <row r="2264" spans="1:19" x14ac:dyDescent="0.25">
      <c r="A2264" s="1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</row>
    <row r="2265" spans="1:19" x14ac:dyDescent="0.25">
      <c r="A2265" s="1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</row>
    <row r="2266" spans="1:19" x14ac:dyDescent="0.25">
      <c r="A2266" s="1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</row>
    <row r="2267" spans="1:19" x14ac:dyDescent="0.25">
      <c r="A2267" s="1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</row>
    <row r="2268" spans="1:19" x14ac:dyDescent="0.25">
      <c r="A2268" s="1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</row>
    <row r="2269" spans="1:19" x14ac:dyDescent="0.25">
      <c r="A2269" s="1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</row>
    <row r="2270" spans="1:19" x14ac:dyDescent="0.25">
      <c r="A2270" s="1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</row>
    <row r="2271" spans="1:19" x14ac:dyDescent="0.25">
      <c r="A2271" s="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</row>
    <row r="2272" spans="1:19" x14ac:dyDescent="0.25">
      <c r="A2272" s="1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</row>
    <row r="2273" spans="1:19" x14ac:dyDescent="0.25">
      <c r="A2273" s="1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</row>
    <row r="2274" spans="1:19" x14ac:dyDescent="0.25">
      <c r="A2274" s="1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</row>
    <row r="2275" spans="1:19" x14ac:dyDescent="0.25">
      <c r="A2275" s="1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</row>
    <row r="2276" spans="1:19" x14ac:dyDescent="0.25">
      <c r="A2276" s="1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</row>
    <row r="2277" spans="1:19" x14ac:dyDescent="0.25">
      <c r="A2277" s="1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</row>
    <row r="2278" spans="1:19" x14ac:dyDescent="0.25">
      <c r="A2278" s="1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</row>
    <row r="2279" spans="1:19" x14ac:dyDescent="0.25">
      <c r="A2279" s="1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</row>
    <row r="2280" spans="1:19" x14ac:dyDescent="0.25">
      <c r="A2280" s="1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</row>
    <row r="2281" spans="1:19" x14ac:dyDescent="0.25">
      <c r="A2281" s="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</row>
    <row r="2282" spans="1:19" x14ac:dyDescent="0.25">
      <c r="A2282" s="1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</row>
    <row r="2283" spans="1:19" x14ac:dyDescent="0.25">
      <c r="A2283" s="1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</row>
    <row r="2284" spans="1:19" x14ac:dyDescent="0.25">
      <c r="A2284" s="1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</row>
    <row r="2285" spans="1:19" x14ac:dyDescent="0.25">
      <c r="A2285" s="1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</row>
    <row r="2286" spans="1:19" x14ac:dyDescent="0.25">
      <c r="A2286" s="1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</row>
    <row r="2287" spans="1:19" x14ac:dyDescent="0.25">
      <c r="A2287" s="1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</row>
    <row r="2288" spans="1:19" x14ac:dyDescent="0.25">
      <c r="A2288" s="1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</row>
    <row r="2289" spans="1:19" x14ac:dyDescent="0.25">
      <c r="A2289" s="1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</row>
    <row r="2290" spans="1:19" x14ac:dyDescent="0.25">
      <c r="A2290" s="1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</row>
    <row r="2291" spans="1:19" x14ac:dyDescent="0.25">
      <c r="A2291" s="1"/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</row>
    <row r="2292" spans="1:19" x14ac:dyDescent="0.25">
      <c r="A2292" s="1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</row>
    <row r="2293" spans="1:19" x14ac:dyDescent="0.25">
      <c r="A2293" s="1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</row>
    <row r="2294" spans="1:19" x14ac:dyDescent="0.25">
      <c r="A2294" s="1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</row>
    <row r="2295" spans="1:19" x14ac:dyDescent="0.25">
      <c r="A2295" s="1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</row>
    <row r="2296" spans="1:19" x14ac:dyDescent="0.25">
      <c r="A2296" s="1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</row>
    <row r="2297" spans="1:19" x14ac:dyDescent="0.25">
      <c r="A2297" s="1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</row>
    <row r="2298" spans="1:19" x14ac:dyDescent="0.25">
      <c r="A2298" s="1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</row>
    <row r="2299" spans="1:19" x14ac:dyDescent="0.25">
      <c r="A2299" s="1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</row>
    <row r="2300" spans="1:19" x14ac:dyDescent="0.25">
      <c r="A2300" s="1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</row>
    <row r="2301" spans="1:19" x14ac:dyDescent="0.25">
      <c r="A2301" s="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</row>
    <row r="2302" spans="1:19" x14ac:dyDescent="0.25">
      <c r="A2302" s="1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</row>
    <row r="2303" spans="1:19" x14ac:dyDescent="0.25">
      <c r="A2303" s="1"/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</row>
    <row r="2304" spans="1:19" x14ac:dyDescent="0.25">
      <c r="A2304" s="1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</row>
    <row r="2305" spans="1:19" x14ac:dyDescent="0.25">
      <c r="A2305" s="1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</row>
    <row r="2306" spans="1:19" x14ac:dyDescent="0.25">
      <c r="A2306" s="1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</row>
    <row r="2307" spans="1:19" x14ac:dyDescent="0.25">
      <c r="A2307" s="1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</row>
    <row r="2308" spans="1:19" x14ac:dyDescent="0.25">
      <c r="A2308" s="1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</row>
    <row r="2309" spans="1:19" x14ac:dyDescent="0.25">
      <c r="A2309" s="1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</row>
    <row r="2310" spans="1:19" x14ac:dyDescent="0.25">
      <c r="A2310" s="1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</row>
    <row r="2311" spans="1:19" x14ac:dyDescent="0.25">
      <c r="A2311" s="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</row>
    <row r="2312" spans="1:19" x14ac:dyDescent="0.25">
      <c r="A2312" s="1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</row>
    <row r="2313" spans="1:19" x14ac:dyDescent="0.25">
      <c r="A2313" s="1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</row>
    <row r="2314" spans="1:19" x14ac:dyDescent="0.25">
      <c r="A2314" s="1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</row>
    <row r="2315" spans="1:19" x14ac:dyDescent="0.25">
      <c r="A2315" s="1"/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</row>
    <row r="2316" spans="1:19" x14ac:dyDescent="0.25">
      <c r="A2316" s="1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</row>
    <row r="2317" spans="1:19" x14ac:dyDescent="0.25">
      <c r="A2317" s="1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</row>
    <row r="2318" spans="1:19" x14ac:dyDescent="0.25">
      <c r="A2318" s="1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</row>
    <row r="2319" spans="1:19" x14ac:dyDescent="0.25">
      <c r="A2319" s="1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</row>
    <row r="2320" spans="1:19" x14ac:dyDescent="0.25">
      <c r="A2320" s="1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</row>
    <row r="2321" spans="1:19" x14ac:dyDescent="0.25">
      <c r="A2321" s="1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</row>
    <row r="2322" spans="1:19" x14ac:dyDescent="0.25">
      <c r="A2322" s="1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</row>
    <row r="2323" spans="1:19" x14ac:dyDescent="0.25">
      <c r="A2323" s="1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</row>
    <row r="2324" spans="1:19" x14ac:dyDescent="0.25">
      <c r="A2324" s="1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</row>
    <row r="2325" spans="1:19" x14ac:dyDescent="0.25">
      <c r="A2325" s="1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</row>
    <row r="2326" spans="1:19" x14ac:dyDescent="0.25">
      <c r="A2326" s="1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</row>
    <row r="2327" spans="1:19" x14ac:dyDescent="0.25">
      <c r="A2327" s="1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</row>
    <row r="2328" spans="1:19" x14ac:dyDescent="0.25">
      <c r="A2328" s="1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</row>
    <row r="2329" spans="1:19" x14ac:dyDescent="0.25">
      <c r="A2329" s="1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</row>
    <row r="2330" spans="1:19" x14ac:dyDescent="0.25">
      <c r="A2330" s="1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</row>
    <row r="2331" spans="1:19" x14ac:dyDescent="0.25">
      <c r="A2331" s="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</row>
    <row r="2332" spans="1:19" x14ac:dyDescent="0.25">
      <c r="A2332" s="1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</row>
    <row r="2333" spans="1:19" x14ac:dyDescent="0.25">
      <c r="A2333" s="1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</row>
    <row r="2334" spans="1:19" x14ac:dyDescent="0.25">
      <c r="A2334" s="1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</row>
    <row r="2335" spans="1:19" x14ac:dyDescent="0.25">
      <c r="A2335" s="1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</row>
    <row r="2336" spans="1:19" x14ac:dyDescent="0.25">
      <c r="A2336" s="1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</row>
    <row r="2337" spans="1:19" x14ac:dyDescent="0.25">
      <c r="A2337" s="1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</row>
    <row r="2338" spans="1:19" x14ac:dyDescent="0.25">
      <c r="A2338" s="1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</row>
    <row r="2339" spans="1:19" x14ac:dyDescent="0.25">
      <c r="A2339" s="1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</row>
    <row r="2340" spans="1:19" x14ac:dyDescent="0.25">
      <c r="A2340" s="1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</row>
    <row r="2341" spans="1:19" x14ac:dyDescent="0.25">
      <c r="A2341" s="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</row>
    <row r="2342" spans="1:19" x14ac:dyDescent="0.25">
      <c r="A2342" s="1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</row>
    <row r="2343" spans="1:19" x14ac:dyDescent="0.25">
      <c r="A2343" s="1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</row>
    <row r="2344" spans="1:19" x14ac:dyDescent="0.25">
      <c r="A2344" s="1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</row>
    <row r="2345" spans="1:19" x14ac:dyDescent="0.25">
      <c r="A2345" s="1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</row>
    <row r="2346" spans="1:19" x14ac:dyDescent="0.25">
      <c r="A2346" s="1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</row>
    <row r="2347" spans="1:19" x14ac:dyDescent="0.25">
      <c r="A2347" s="1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</row>
    <row r="2348" spans="1:19" x14ac:dyDescent="0.25">
      <c r="A2348" s="1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</row>
    <row r="2349" spans="1:19" x14ac:dyDescent="0.25">
      <c r="A2349" s="1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</row>
    <row r="2350" spans="1:19" x14ac:dyDescent="0.25">
      <c r="A2350" s="1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</row>
    <row r="2351" spans="1:19" x14ac:dyDescent="0.25">
      <c r="A2351" s="1"/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</row>
    <row r="2352" spans="1:19" x14ac:dyDescent="0.25">
      <c r="A2352" s="1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</row>
    <row r="2353" spans="1:19" x14ac:dyDescent="0.25">
      <c r="A2353" s="1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</row>
    <row r="2354" spans="1:19" x14ac:dyDescent="0.25">
      <c r="A2354" s="1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</row>
    <row r="2355" spans="1:19" x14ac:dyDescent="0.25">
      <c r="A2355" s="1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</row>
    <row r="2356" spans="1:19" x14ac:dyDescent="0.25">
      <c r="A2356" s="1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</row>
    <row r="2357" spans="1:19" x14ac:dyDescent="0.25">
      <c r="A2357" s="1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</row>
    <row r="2358" spans="1:19" x14ac:dyDescent="0.25">
      <c r="A2358" s="1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</row>
    <row r="2359" spans="1:19" x14ac:dyDescent="0.25">
      <c r="A2359" s="1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</row>
    <row r="2360" spans="1:19" x14ac:dyDescent="0.25">
      <c r="A2360" s="1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</row>
    <row r="2361" spans="1:19" x14ac:dyDescent="0.25">
      <c r="A2361" s="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</row>
    <row r="2362" spans="1:19" x14ac:dyDescent="0.25">
      <c r="A2362" s="1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</row>
    <row r="2363" spans="1:19" x14ac:dyDescent="0.25">
      <c r="A2363" s="1"/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</row>
    <row r="2364" spans="1:19" x14ac:dyDescent="0.25">
      <c r="A2364" s="1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</row>
    <row r="2365" spans="1:19" x14ac:dyDescent="0.25">
      <c r="A2365" s="1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</row>
    <row r="2366" spans="1:19" x14ac:dyDescent="0.25">
      <c r="A2366" s="1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</row>
    <row r="2367" spans="1:19" x14ac:dyDescent="0.25">
      <c r="A2367" s="1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</row>
    <row r="2368" spans="1:19" x14ac:dyDescent="0.25">
      <c r="A2368" s="1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</row>
    <row r="2369" spans="1:19" x14ac:dyDescent="0.25">
      <c r="A2369" s="1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</row>
    <row r="2370" spans="1:19" x14ac:dyDescent="0.25">
      <c r="A2370" s="1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</row>
    <row r="2371" spans="1:19" x14ac:dyDescent="0.25">
      <c r="A2371" s="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</row>
    <row r="2372" spans="1:19" x14ac:dyDescent="0.25">
      <c r="A2372" s="1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</row>
    <row r="2373" spans="1:19" x14ac:dyDescent="0.25">
      <c r="A2373" s="1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</row>
    <row r="2374" spans="1:19" x14ac:dyDescent="0.25">
      <c r="A2374" s="1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</row>
    <row r="2375" spans="1:19" x14ac:dyDescent="0.25">
      <c r="A2375" s="1"/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</row>
    <row r="2376" spans="1:19" x14ac:dyDescent="0.25">
      <c r="A2376" s="1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</row>
    <row r="2377" spans="1:19" x14ac:dyDescent="0.25">
      <c r="A2377" s="1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</row>
    <row r="2378" spans="1:19" x14ac:dyDescent="0.25">
      <c r="A2378" s="1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</row>
    <row r="2379" spans="1:19" x14ac:dyDescent="0.25">
      <c r="A2379" s="1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</row>
    <row r="2380" spans="1:19" x14ac:dyDescent="0.25">
      <c r="A2380" s="1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</row>
    <row r="2381" spans="1:19" x14ac:dyDescent="0.25">
      <c r="A2381" s="1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</row>
    <row r="2382" spans="1:19" x14ac:dyDescent="0.25">
      <c r="A2382" s="1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</row>
    <row r="2383" spans="1:19" x14ac:dyDescent="0.25">
      <c r="A2383" s="1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</row>
    <row r="2384" spans="1:19" x14ac:dyDescent="0.25">
      <c r="A2384" s="1"/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</row>
    <row r="2385" spans="1:19" x14ac:dyDescent="0.25">
      <c r="A2385" s="1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</row>
    <row r="2386" spans="1:19" x14ac:dyDescent="0.25">
      <c r="A2386" s="1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</row>
    <row r="2387" spans="1:19" x14ac:dyDescent="0.25">
      <c r="A2387" s="1"/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</row>
    <row r="2388" spans="1:19" x14ac:dyDescent="0.25">
      <c r="A2388" s="1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</row>
    <row r="2389" spans="1:19" x14ac:dyDescent="0.25">
      <c r="A2389" s="1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</row>
    <row r="2390" spans="1:19" x14ac:dyDescent="0.25">
      <c r="A2390" s="1"/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</row>
    <row r="2391" spans="1:19" x14ac:dyDescent="0.25">
      <c r="A2391" s="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</row>
    <row r="2392" spans="1:19" x14ac:dyDescent="0.25">
      <c r="A2392" s="1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</row>
    <row r="2393" spans="1:19" x14ac:dyDescent="0.25">
      <c r="A2393" s="1"/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</row>
    <row r="2394" spans="1:19" x14ac:dyDescent="0.25">
      <c r="A2394" s="1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</row>
    <row r="2395" spans="1:19" x14ac:dyDescent="0.25">
      <c r="A2395" s="1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</row>
    <row r="2396" spans="1:19" x14ac:dyDescent="0.25">
      <c r="A2396" s="1"/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</row>
    <row r="2397" spans="1:19" x14ac:dyDescent="0.25">
      <c r="A2397" s="1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</row>
    <row r="2398" spans="1:19" x14ac:dyDescent="0.25">
      <c r="A2398" s="1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</row>
    <row r="2399" spans="1:19" x14ac:dyDescent="0.25">
      <c r="A2399" s="1"/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</row>
    <row r="2400" spans="1:19" x14ac:dyDescent="0.25">
      <c r="A2400" s="1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</row>
    <row r="2401" spans="1:19" x14ac:dyDescent="0.25">
      <c r="A2401" s="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</row>
    <row r="2402" spans="1:19" x14ac:dyDescent="0.25">
      <c r="A2402" s="1"/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</row>
    <row r="2403" spans="1:19" x14ac:dyDescent="0.25">
      <c r="A2403" s="1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</row>
    <row r="2404" spans="1:19" x14ac:dyDescent="0.25">
      <c r="A2404" s="1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</row>
    <row r="2405" spans="1:19" x14ac:dyDescent="0.25">
      <c r="A2405" s="1"/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</row>
    <row r="2406" spans="1:19" x14ac:dyDescent="0.25">
      <c r="A2406" s="1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</row>
    <row r="2407" spans="1:19" x14ac:dyDescent="0.25">
      <c r="A2407" s="1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</row>
    <row r="2408" spans="1:19" x14ac:dyDescent="0.25">
      <c r="A2408" s="1"/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</row>
    <row r="2409" spans="1:19" x14ac:dyDescent="0.25">
      <c r="A2409" s="1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</row>
    <row r="2410" spans="1:19" x14ac:dyDescent="0.25">
      <c r="A2410" s="1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</row>
    <row r="2411" spans="1:19" x14ac:dyDescent="0.25">
      <c r="A2411" s="1"/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</row>
    <row r="2412" spans="1:19" x14ac:dyDescent="0.25">
      <c r="A2412" s="1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</row>
    <row r="2413" spans="1:19" x14ac:dyDescent="0.25">
      <c r="A2413" s="1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</row>
    <row r="2414" spans="1:19" x14ac:dyDescent="0.25">
      <c r="A2414" s="1"/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</row>
    <row r="2415" spans="1:19" x14ac:dyDescent="0.25">
      <c r="A2415" s="1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</row>
    <row r="2416" spans="1:19" x14ac:dyDescent="0.25">
      <c r="A2416" s="1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</row>
    <row r="2417" spans="1:19" x14ac:dyDescent="0.25">
      <c r="A2417" s="1"/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</row>
    <row r="2418" spans="1:19" x14ac:dyDescent="0.25">
      <c r="A2418" s="1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</row>
    <row r="2419" spans="1:19" x14ac:dyDescent="0.25">
      <c r="A2419" s="1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</row>
    <row r="2420" spans="1:19" x14ac:dyDescent="0.25">
      <c r="A2420" s="1"/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</row>
    <row r="2421" spans="1:19" x14ac:dyDescent="0.25">
      <c r="A2421" s="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</row>
    <row r="2422" spans="1:19" x14ac:dyDescent="0.25">
      <c r="A2422" s="1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</row>
    <row r="2423" spans="1:19" x14ac:dyDescent="0.25">
      <c r="A2423" s="1"/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</row>
    <row r="2424" spans="1:19" x14ac:dyDescent="0.25">
      <c r="A2424" s="1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</row>
    <row r="2425" spans="1:19" x14ac:dyDescent="0.25">
      <c r="A2425" s="1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</row>
    <row r="2426" spans="1:19" x14ac:dyDescent="0.25">
      <c r="A2426" s="1"/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</row>
    <row r="2427" spans="1:19" x14ac:dyDescent="0.25">
      <c r="A2427" s="1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</row>
    <row r="2428" spans="1:19" x14ac:dyDescent="0.25">
      <c r="A2428" s="1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</row>
    <row r="2429" spans="1:19" x14ac:dyDescent="0.25">
      <c r="A2429" s="1"/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</row>
    <row r="2430" spans="1:19" x14ac:dyDescent="0.25">
      <c r="A2430" s="1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</row>
    <row r="2431" spans="1:19" x14ac:dyDescent="0.25">
      <c r="A2431" s="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</row>
    <row r="2432" spans="1:19" x14ac:dyDescent="0.25">
      <c r="A2432" s="1"/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</row>
    <row r="2433" spans="1:19" x14ac:dyDescent="0.25">
      <c r="A2433" s="1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</row>
    <row r="2434" spans="1:19" x14ac:dyDescent="0.25">
      <c r="A2434" s="1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</row>
    <row r="2435" spans="1:19" x14ac:dyDescent="0.25">
      <c r="A2435" s="1"/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</row>
    <row r="2436" spans="1:19" x14ac:dyDescent="0.25">
      <c r="A2436" s="1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</row>
    <row r="2437" spans="1:19" x14ac:dyDescent="0.25">
      <c r="A2437" s="1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</row>
    <row r="2438" spans="1:19" x14ac:dyDescent="0.25">
      <c r="A2438" s="1"/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</row>
    <row r="2439" spans="1:19" x14ac:dyDescent="0.25">
      <c r="A2439" s="1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</row>
    <row r="2440" spans="1:19" x14ac:dyDescent="0.25">
      <c r="A2440" s="1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</row>
    <row r="2441" spans="1:19" x14ac:dyDescent="0.25">
      <c r="A2441" s="1"/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</row>
    <row r="2442" spans="1:19" x14ac:dyDescent="0.25">
      <c r="A2442" s="1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</row>
    <row r="2443" spans="1:19" x14ac:dyDescent="0.25">
      <c r="A2443" s="1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</row>
    <row r="2444" spans="1:19" x14ac:dyDescent="0.25">
      <c r="A2444" s="1"/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</row>
    <row r="2445" spans="1:19" x14ac:dyDescent="0.25">
      <c r="A2445" s="1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</row>
    <row r="2446" spans="1:19" x14ac:dyDescent="0.25">
      <c r="A2446" s="1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</row>
    <row r="2447" spans="1:19" x14ac:dyDescent="0.25">
      <c r="A2447" s="1"/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</row>
    <row r="2448" spans="1:19" x14ac:dyDescent="0.25">
      <c r="A2448" s="1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</row>
    <row r="2449" spans="1:19" x14ac:dyDescent="0.25">
      <c r="A2449" s="1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</row>
    <row r="2450" spans="1:19" x14ac:dyDescent="0.25">
      <c r="A2450" s="1"/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</row>
    <row r="2451" spans="1:19" x14ac:dyDescent="0.25">
      <c r="A2451" s="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</row>
    <row r="2452" spans="1:19" x14ac:dyDescent="0.25">
      <c r="A2452" s="1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</row>
    <row r="2453" spans="1:19" x14ac:dyDescent="0.25">
      <c r="A2453" s="1"/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</row>
    <row r="2454" spans="1:19" x14ac:dyDescent="0.25">
      <c r="A2454" s="1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</row>
    <row r="2455" spans="1:19" x14ac:dyDescent="0.25">
      <c r="A2455" s="1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</row>
    <row r="2456" spans="1:19" x14ac:dyDescent="0.25">
      <c r="A2456" s="1"/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</row>
    <row r="2457" spans="1:19" x14ac:dyDescent="0.25">
      <c r="A2457" s="1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</row>
    <row r="2458" spans="1:19" x14ac:dyDescent="0.25">
      <c r="A2458" s="1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</row>
    <row r="2459" spans="1:19" x14ac:dyDescent="0.25">
      <c r="A2459" s="1"/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</row>
    <row r="2460" spans="1:19" x14ac:dyDescent="0.25">
      <c r="A2460" s="1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</row>
    <row r="2461" spans="1:19" x14ac:dyDescent="0.25">
      <c r="A2461" s="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</row>
    <row r="2462" spans="1:19" x14ac:dyDescent="0.25">
      <c r="A2462" s="1"/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</row>
    <row r="2463" spans="1:19" x14ac:dyDescent="0.25">
      <c r="A2463" s="1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</row>
    <row r="2464" spans="1:19" x14ac:dyDescent="0.25">
      <c r="A2464" s="1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</row>
    <row r="2465" spans="1:19" x14ac:dyDescent="0.25">
      <c r="A2465" s="1"/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</row>
    <row r="2466" spans="1:19" x14ac:dyDescent="0.25">
      <c r="A2466" s="1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</row>
    <row r="2467" spans="1:19" x14ac:dyDescent="0.25">
      <c r="A2467" s="1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</row>
    <row r="2468" spans="1:19" x14ac:dyDescent="0.25">
      <c r="A2468" s="1"/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</row>
    <row r="2469" spans="1:19" x14ac:dyDescent="0.25">
      <c r="A2469" s="1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</row>
    <row r="2470" spans="1:19" x14ac:dyDescent="0.25">
      <c r="A2470" s="1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</row>
    <row r="2471" spans="1:19" x14ac:dyDescent="0.25">
      <c r="A2471" s="1"/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</row>
    <row r="2472" spans="1:19" x14ac:dyDescent="0.25">
      <c r="A2472" s="1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</row>
    <row r="2473" spans="1:19" x14ac:dyDescent="0.25">
      <c r="A2473" s="1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</row>
    <row r="2474" spans="1:19" x14ac:dyDescent="0.25">
      <c r="A2474" s="1"/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</row>
    <row r="2475" spans="1:19" x14ac:dyDescent="0.25">
      <c r="A2475" s="1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</row>
    <row r="2476" spans="1:19" x14ac:dyDescent="0.25">
      <c r="A2476" s="1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</row>
    <row r="2477" spans="1:19" x14ac:dyDescent="0.25">
      <c r="A2477" s="1"/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</row>
    <row r="2478" spans="1:19" x14ac:dyDescent="0.25">
      <c r="A2478" s="1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</row>
    <row r="2479" spans="1:19" x14ac:dyDescent="0.25">
      <c r="A2479" s="1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</row>
    <row r="2480" spans="1:19" x14ac:dyDescent="0.25">
      <c r="A2480" s="1"/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</row>
    <row r="2481" spans="1:19" x14ac:dyDescent="0.25">
      <c r="A2481" s="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</row>
    <row r="2482" spans="1:19" x14ac:dyDescent="0.25">
      <c r="A2482" s="1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</row>
    <row r="2483" spans="1:19" x14ac:dyDescent="0.25">
      <c r="A2483" s="1"/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</row>
    <row r="2484" spans="1:19" x14ac:dyDescent="0.25">
      <c r="A2484" s="1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</row>
    <row r="2485" spans="1:19" x14ac:dyDescent="0.25">
      <c r="A2485" s="1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</row>
    <row r="2486" spans="1:19" x14ac:dyDescent="0.25">
      <c r="A2486" s="1"/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</row>
    <row r="2487" spans="1:19" x14ac:dyDescent="0.25">
      <c r="A2487" s="1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</row>
    <row r="2488" spans="1:19" x14ac:dyDescent="0.25">
      <c r="A2488" s="1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</row>
    <row r="2489" spans="1:19" x14ac:dyDescent="0.25">
      <c r="A2489" s="1"/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</row>
    <row r="2490" spans="1:19" x14ac:dyDescent="0.25">
      <c r="A2490" s="1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</row>
    <row r="2491" spans="1:19" x14ac:dyDescent="0.25">
      <c r="A2491" s="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</row>
    <row r="2492" spans="1:19" x14ac:dyDescent="0.25">
      <c r="A2492" s="1"/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</row>
    <row r="2493" spans="1:19" x14ac:dyDescent="0.25">
      <c r="A2493" s="1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</row>
    <row r="2494" spans="1:19" x14ac:dyDescent="0.25">
      <c r="A2494" s="1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</row>
    <row r="2495" spans="1:19" x14ac:dyDescent="0.25">
      <c r="A2495" s="1"/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</row>
    <row r="2496" spans="1:19" x14ac:dyDescent="0.25">
      <c r="A2496" s="1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</row>
    <row r="2497" spans="1:19" x14ac:dyDescent="0.25">
      <c r="A2497" s="1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</row>
    <row r="2498" spans="1:19" x14ac:dyDescent="0.25">
      <c r="A2498" s="1"/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</row>
    <row r="2499" spans="1:19" x14ac:dyDescent="0.25">
      <c r="A2499" s="1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</row>
    <row r="2500" spans="1:19" x14ac:dyDescent="0.25">
      <c r="A2500" s="1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</row>
    <row r="2501" spans="1:19" x14ac:dyDescent="0.25">
      <c r="A2501" s="1"/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</row>
    <row r="2502" spans="1:19" x14ac:dyDescent="0.25">
      <c r="A2502" s="1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</row>
    <row r="2503" spans="1:19" x14ac:dyDescent="0.25">
      <c r="A2503" s="1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</row>
    <row r="2504" spans="1:19" x14ac:dyDescent="0.25">
      <c r="A2504" s="1"/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</row>
    <row r="2505" spans="1:19" x14ac:dyDescent="0.25">
      <c r="A2505" s="1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</row>
    <row r="2506" spans="1:19" x14ac:dyDescent="0.25">
      <c r="A2506" s="1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</row>
    <row r="2507" spans="1:19" x14ac:dyDescent="0.25">
      <c r="A2507" s="1"/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</row>
    <row r="2508" spans="1:19" x14ac:dyDescent="0.25">
      <c r="A2508" s="1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</row>
    <row r="2509" spans="1:19" x14ac:dyDescent="0.25">
      <c r="A2509" s="1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</row>
    <row r="2510" spans="1:19" x14ac:dyDescent="0.25">
      <c r="A2510" s="1"/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</row>
    <row r="2511" spans="1:19" x14ac:dyDescent="0.25">
      <c r="A2511" s="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</row>
    <row r="2512" spans="1:19" x14ac:dyDescent="0.25">
      <c r="A2512" s="1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</row>
    <row r="2513" spans="1:19" x14ac:dyDescent="0.25">
      <c r="A2513" s="1"/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</row>
    <row r="2514" spans="1:19" x14ac:dyDescent="0.25">
      <c r="A2514" s="1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</row>
    <row r="2515" spans="1:19" x14ac:dyDescent="0.25">
      <c r="A2515" s="1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</row>
    <row r="2516" spans="1:19" x14ac:dyDescent="0.25">
      <c r="A2516" s="1"/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</row>
    <row r="2517" spans="1:19" x14ac:dyDescent="0.25">
      <c r="A2517" s="1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</row>
    <row r="2518" spans="1:19" x14ac:dyDescent="0.25">
      <c r="A2518" s="1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</row>
    <row r="2519" spans="1:19" x14ac:dyDescent="0.25">
      <c r="A2519" s="1"/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</row>
    <row r="2520" spans="1:19" x14ac:dyDescent="0.25">
      <c r="A2520" s="1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</row>
    <row r="2521" spans="1:19" x14ac:dyDescent="0.25">
      <c r="A2521" s="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</row>
    <row r="2522" spans="1:19" x14ac:dyDescent="0.25">
      <c r="A2522" s="1"/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</row>
    <row r="2523" spans="1:19" x14ac:dyDescent="0.25">
      <c r="A2523" s="1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</row>
    <row r="2524" spans="1:19" x14ac:dyDescent="0.25">
      <c r="A2524" s="1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</row>
    <row r="2525" spans="1:19" x14ac:dyDescent="0.25">
      <c r="A2525" s="1"/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</row>
    <row r="2526" spans="1:19" x14ac:dyDescent="0.25">
      <c r="A2526" s="1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</row>
    <row r="2527" spans="1:19" x14ac:dyDescent="0.25">
      <c r="A2527" s="1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</row>
    <row r="2528" spans="1:19" x14ac:dyDescent="0.25">
      <c r="A2528" s="1"/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</row>
    <row r="2529" spans="1:19" x14ac:dyDescent="0.25">
      <c r="A2529" s="1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</row>
    <row r="2530" spans="1:19" x14ac:dyDescent="0.25">
      <c r="A2530" s="1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</row>
    <row r="2531" spans="1:19" x14ac:dyDescent="0.25">
      <c r="A2531" s="1"/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</row>
    <row r="2532" spans="1:19" x14ac:dyDescent="0.25">
      <c r="A2532" s="1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</row>
    <row r="2533" spans="1:19" x14ac:dyDescent="0.25">
      <c r="A2533" s="1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</row>
    <row r="2534" spans="1:19" x14ac:dyDescent="0.25">
      <c r="A2534" s="1"/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</row>
    <row r="2535" spans="1:19" x14ac:dyDescent="0.25">
      <c r="A2535" s="1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</row>
    <row r="2536" spans="1:19" x14ac:dyDescent="0.25">
      <c r="A2536" s="1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</row>
    <row r="2537" spans="1:19" x14ac:dyDescent="0.25">
      <c r="A2537" s="1"/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</row>
    <row r="2538" spans="1:19" x14ac:dyDescent="0.25">
      <c r="A2538" s="1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</row>
    <row r="2539" spans="1:19" x14ac:dyDescent="0.25">
      <c r="A2539" s="1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</row>
    <row r="2540" spans="1:19" x14ac:dyDescent="0.25">
      <c r="A2540" s="1"/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</row>
    <row r="2541" spans="1:19" x14ac:dyDescent="0.25">
      <c r="A2541" s="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</row>
    <row r="2542" spans="1:19" x14ac:dyDescent="0.25">
      <c r="A2542" s="1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</row>
    <row r="2543" spans="1:19" x14ac:dyDescent="0.25">
      <c r="A2543" s="1"/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</row>
    <row r="2544" spans="1:19" x14ac:dyDescent="0.25">
      <c r="A2544" s="1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</row>
    <row r="2545" spans="1:19" x14ac:dyDescent="0.25">
      <c r="A2545" s="1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</row>
    <row r="2546" spans="1:19" x14ac:dyDescent="0.25">
      <c r="A2546" s="1"/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</row>
    <row r="2547" spans="1:19" x14ac:dyDescent="0.25">
      <c r="A2547" s="1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</row>
    <row r="2548" spans="1:19" x14ac:dyDescent="0.25">
      <c r="A2548" s="1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</row>
    <row r="2549" spans="1:19" x14ac:dyDescent="0.25">
      <c r="A2549" s="1"/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</row>
    <row r="2550" spans="1:19" x14ac:dyDescent="0.25">
      <c r="A2550" s="1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</row>
    <row r="2551" spans="1:19" x14ac:dyDescent="0.25">
      <c r="A2551" s="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</row>
    <row r="2552" spans="1:19" x14ac:dyDescent="0.25">
      <c r="A2552" s="1"/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</row>
    <row r="2553" spans="1:19" x14ac:dyDescent="0.25">
      <c r="A2553" s="1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</row>
    <row r="2554" spans="1:19" x14ac:dyDescent="0.25">
      <c r="A2554" s="1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</row>
    <row r="2555" spans="1:19" x14ac:dyDescent="0.25">
      <c r="A2555" s="1"/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</row>
    <row r="2556" spans="1:19" x14ac:dyDescent="0.25">
      <c r="A2556" s="1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</row>
    <row r="2557" spans="1:19" x14ac:dyDescent="0.25">
      <c r="A2557" s="1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</row>
    <row r="2558" spans="1:19" x14ac:dyDescent="0.25">
      <c r="A2558" s="1"/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</row>
    <row r="2559" spans="1:19" x14ac:dyDescent="0.25">
      <c r="A2559" s="1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</row>
    <row r="2560" spans="1:19" x14ac:dyDescent="0.25">
      <c r="A2560" s="1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</row>
    <row r="2561" spans="1:19" x14ac:dyDescent="0.25">
      <c r="A2561" s="1"/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</row>
    <row r="2562" spans="1:19" x14ac:dyDescent="0.25">
      <c r="A2562" s="1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</row>
    <row r="2563" spans="1:19" x14ac:dyDescent="0.25">
      <c r="A2563" s="1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</row>
    <row r="2564" spans="1:19" x14ac:dyDescent="0.25">
      <c r="A2564" s="1"/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</row>
    <row r="2565" spans="1:19" x14ac:dyDescent="0.25">
      <c r="A2565" s="1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</row>
    <row r="2566" spans="1:19" x14ac:dyDescent="0.25">
      <c r="A2566" s="1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</row>
    <row r="2567" spans="1:19" x14ac:dyDescent="0.25">
      <c r="A2567" s="1"/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</row>
    <row r="2568" spans="1:19" x14ac:dyDescent="0.25">
      <c r="A2568" s="1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</row>
    <row r="2569" spans="1:19" x14ac:dyDescent="0.25">
      <c r="A2569" s="1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</row>
    <row r="2570" spans="1:19" x14ac:dyDescent="0.25">
      <c r="A2570" s="1"/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</row>
    <row r="2571" spans="1:19" x14ac:dyDescent="0.25">
      <c r="A2571" s="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</row>
    <row r="2572" spans="1:19" x14ac:dyDescent="0.25">
      <c r="A2572" s="1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</row>
    <row r="2573" spans="1:19" x14ac:dyDescent="0.25">
      <c r="A2573" s="1"/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</row>
    <row r="2574" spans="1:19" x14ac:dyDescent="0.25">
      <c r="A2574" s="1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</row>
    <row r="2575" spans="1:19" x14ac:dyDescent="0.25">
      <c r="A2575" s="1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</row>
    <row r="2576" spans="1:19" x14ac:dyDescent="0.25">
      <c r="A2576" s="1"/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</row>
    <row r="2577" spans="1:19" x14ac:dyDescent="0.25">
      <c r="A2577" s="1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</row>
    <row r="2578" spans="1:19" x14ac:dyDescent="0.25">
      <c r="A2578" s="1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</row>
    <row r="2579" spans="1:19" x14ac:dyDescent="0.25">
      <c r="A2579" s="1"/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</row>
    <row r="2580" spans="1:19" x14ac:dyDescent="0.25">
      <c r="A2580" s="1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</row>
    <row r="2581" spans="1:19" x14ac:dyDescent="0.25">
      <c r="A2581" s="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</row>
    <row r="2582" spans="1:19" x14ac:dyDescent="0.25">
      <c r="A2582" s="1"/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</row>
    <row r="2583" spans="1:19" x14ac:dyDescent="0.25">
      <c r="A2583" s="1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</row>
    <row r="2584" spans="1:19" x14ac:dyDescent="0.25">
      <c r="A2584" s="1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</row>
    <row r="2585" spans="1:19" x14ac:dyDescent="0.25">
      <c r="A2585" s="1"/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</row>
    <row r="2586" spans="1:19" x14ac:dyDescent="0.25">
      <c r="A2586" s="1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</row>
    <row r="2587" spans="1:19" x14ac:dyDescent="0.25">
      <c r="A2587" s="1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</row>
    <row r="2588" spans="1:19" x14ac:dyDescent="0.25">
      <c r="A2588" s="1"/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</row>
    <row r="2589" spans="1:19" x14ac:dyDescent="0.25">
      <c r="A2589" s="1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</row>
    <row r="2590" spans="1:19" x14ac:dyDescent="0.25">
      <c r="A2590" s="1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</row>
    <row r="2591" spans="1:19" x14ac:dyDescent="0.25">
      <c r="A2591" s="1"/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</row>
    <row r="2592" spans="1:19" x14ac:dyDescent="0.25">
      <c r="A2592" s="1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</row>
    <row r="2593" spans="1:19" x14ac:dyDescent="0.25">
      <c r="A2593" s="1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</row>
    <row r="2594" spans="1:19" x14ac:dyDescent="0.25">
      <c r="A2594" s="1"/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</row>
    <row r="2595" spans="1:19" x14ac:dyDescent="0.25">
      <c r="A2595" s="1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</row>
    <row r="2596" spans="1:19" x14ac:dyDescent="0.25">
      <c r="A2596" s="1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</row>
    <row r="2597" spans="1:19" x14ac:dyDescent="0.25">
      <c r="A2597" s="1"/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</row>
    <row r="2598" spans="1:19" x14ac:dyDescent="0.25">
      <c r="A2598" s="1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</row>
    <row r="2599" spans="1:19" x14ac:dyDescent="0.25">
      <c r="A2599" s="1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</row>
    <row r="2600" spans="1:19" x14ac:dyDescent="0.25">
      <c r="A2600" s="1"/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</row>
    <row r="2601" spans="1:19" x14ac:dyDescent="0.25">
      <c r="A2601" s="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</row>
    <row r="2602" spans="1:19" x14ac:dyDescent="0.25">
      <c r="A2602" s="1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</row>
    <row r="2603" spans="1:19" x14ac:dyDescent="0.25">
      <c r="A2603" s="1"/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</row>
    <row r="2604" spans="1:19" x14ac:dyDescent="0.25">
      <c r="A2604" s="1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</row>
    <row r="2605" spans="1:19" x14ac:dyDescent="0.25">
      <c r="A2605" s="1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</row>
    <row r="2606" spans="1:19" x14ac:dyDescent="0.25">
      <c r="A2606" s="1"/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</row>
    <row r="2607" spans="1:19" x14ac:dyDescent="0.25">
      <c r="A2607" s="1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</row>
    <row r="2608" spans="1:19" x14ac:dyDescent="0.25">
      <c r="A2608" s="1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</row>
    <row r="2609" spans="1:19" x14ac:dyDescent="0.25">
      <c r="A2609" s="1"/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</row>
    <row r="2610" spans="1:19" x14ac:dyDescent="0.25">
      <c r="A2610" s="1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</row>
    <row r="2611" spans="1:19" x14ac:dyDescent="0.25">
      <c r="A2611" s="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</row>
    <row r="2612" spans="1:19" x14ac:dyDescent="0.25">
      <c r="A2612" s="1"/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</row>
    <row r="2613" spans="1:19" x14ac:dyDescent="0.25">
      <c r="A2613" s="1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</row>
    <row r="2614" spans="1:19" x14ac:dyDescent="0.25">
      <c r="A2614" s="1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</row>
    <row r="2615" spans="1:19" x14ac:dyDescent="0.25">
      <c r="A2615" s="1"/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</row>
    <row r="2616" spans="1:19" x14ac:dyDescent="0.25">
      <c r="A2616" s="1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</row>
    <row r="2617" spans="1:19" x14ac:dyDescent="0.25">
      <c r="A2617" s="1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</row>
    <row r="2618" spans="1:19" x14ac:dyDescent="0.25">
      <c r="A2618" s="1"/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</row>
    <row r="2619" spans="1:19" x14ac:dyDescent="0.25">
      <c r="A2619" s="1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</row>
    <row r="2620" spans="1:19" x14ac:dyDescent="0.25">
      <c r="A2620" s="1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</row>
    <row r="2621" spans="1:19" x14ac:dyDescent="0.25">
      <c r="A2621" s="1"/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</row>
    <row r="2622" spans="1:19" x14ac:dyDescent="0.25">
      <c r="A2622" s="1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</row>
    <row r="2623" spans="1:19" x14ac:dyDescent="0.25">
      <c r="A2623" s="1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</row>
    <row r="2624" spans="1:19" x14ac:dyDescent="0.25">
      <c r="A2624" s="1"/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</row>
    <row r="2625" spans="1:19" x14ac:dyDescent="0.25">
      <c r="A2625" s="1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</row>
    <row r="2626" spans="1:19" x14ac:dyDescent="0.25">
      <c r="A2626" s="1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</row>
    <row r="2627" spans="1:19" x14ac:dyDescent="0.25">
      <c r="A2627" s="1"/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</row>
    <row r="2628" spans="1:19" x14ac:dyDescent="0.25">
      <c r="A2628" s="1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</row>
    <row r="2629" spans="1:19" x14ac:dyDescent="0.25">
      <c r="A2629" s="1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</row>
    <row r="2630" spans="1:19" x14ac:dyDescent="0.25">
      <c r="A2630" s="1"/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</row>
    <row r="2631" spans="1:19" x14ac:dyDescent="0.25">
      <c r="A2631" s="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</row>
    <row r="2632" spans="1:19" x14ac:dyDescent="0.25">
      <c r="A2632" s="1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</row>
    <row r="2633" spans="1:19" x14ac:dyDescent="0.25">
      <c r="A2633" s="1"/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</row>
    <row r="2634" spans="1:19" x14ac:dyDescent="0.25">
      <c r="A2634" s="1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</row>
    <row r="2635" spans="1:19" x14ac:dyDescent="0.25">
      <c r="A2635" s="1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</row>
    <row r="2636" spans="1:19" x14ac:dyDescent="0.25">
      <c r="A2636" s="1"/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</row>
    <row r="2637" spans="1:19" x14ac:dyDescent="0.25">
      <c r="A2637" s="1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</row>
    <row r="2638" spans="1:19" x14ac:dyDescent="0.25">
      <c r="A2638" s="1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</row>
    <row r="2639" spans="1:19" x14ac:dyDescent="0.25">
      <c r="A2639" s="1"/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</row>
    <row r="2640" spans="1:19" x14ac:dyDescent="0.25">
      <c r="A2640" s="1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</row>
    <row r="2641" spans="1:19" x14ac:dyDescent="0.25">
      <c r="A2641" s="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</row>
    <row r="2642" spans="1:19" x14ac:dyDescent="0.25">
      <c r="A2642" s="1"/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</row>
    <row r="2643" spans="1:19" x14ac:dyDescent="0.25">
      <c r="A2643" s="1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</row>
    <row r="2644" spans="1:19" x14ac:dyDescent="0.25">
      <c r="A2644" s="1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</row>
    <row r="2645" spans="1:19" x14ac:dyDescent="0.25">
      <c r="A2645" s="1"/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</row>
    <row r="2646" spans="1:19" x14ac:dyDescent="0.25">
      <c r="A2646" s="1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</row>
    <row r="2647" spans="1:19" x14ac:dyDescent="0.25">
      <c r="A2647" s="1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</row>
    <row r="2648" spans="1:19" x14ac:dyDescent="0.25">
      <c r="A2648" s="1"/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</row>
    <row r="2649" spans="1:19" x14ac:dyDescent="0.25">
      <c r="A2649" s="1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</row>
    <row r="2650" spans="1:19" x14ac:dyDescent="0.25">
      <c r="A2650" s="1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</row>
    <row r="2651" spans="1:19" x14ac:dyDescent="0.25">
      <c r="A2651" s="1"/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</row>
    <row r="2652" spans="1:19" x14ac:dyDescent="0.25">
      <c r="A2652" s="1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</row>
    <row r="2653" spans="1:19" x14ac:dyDescent="0.25">
      <c r="A2653" s="1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</row>
    <row r="2654" spans="1:19" x14ac:dyDescent="0.25">
      <c r="A2654" s="1"/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</row>
    <row r="2655" spans="1:19" x14ac:dyDescent="0.25">
      <c r="A2655" s="1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</row>
    <row r="2656" spans="1:19" x14ac:dyDescent="0.25">
      <c r="A2656" s="1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</row>
    <row r="2657" spans="1:19" x14ac:dyDescent="0.25">
      <c r="A2657" s="1"/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</row>
    <row r="2658" spans="1:19" x14ac:dyDescent="0.25">
      <c r="A2658" s="1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</row>
    <row r="2659" spans="1:19" x14ac:dyDescent="0.25">
      <c r="A2659" s="1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</row>
    <row r="2660" spans="1:19" x14ac:dyDescent="0.25">
      <c r="A2660" s="1"/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</row>
    <row r="2661" spans="1:19" x14ac:dyDescent="0.25">
      <c r="A2661" s="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</row>
    <row r="2662" spans="1:19" x14ac:dyDescent="0.25">
      <c r="A2662" s="1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</row>
    <row r="2663" spans="1:19" x14ac:dyDescent="0.25">
      <c r="A2663" s="1"/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</row>
    <row r="2664" spans="1:19" x14ac:dyDescent="0.25">
      <c r="A2664" s="1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</row>
    <row r="2665" spans="1:19" x14ac:dyDescent="0.25">
      <c r="A2665" s="1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</row>
    <row r="2666" spans="1:19" x14ac:dyDescent="0.25">
      <c r="A2666" s="1"/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</row>
    <row r="2667" spans="1:19" x14ac:dyDescent="0.25">
      <c r="A2667" s="1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</row>
    <row r="2668" spans="1:19" x14ac:dyDescent="0.25">
      <c r="A2668" s="1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</row>
    <row r="2669" spans="1:19" x14ac:dyDescent="0.25">
      <c r="A2669" s="1"/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</row>
    <row r="2670" spans="1:19" x14ac:dyDescent="0.25">
      <c r="A2670" s="1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</row>
    <row r="2671" spans="1:19" x14ac:dyDescent="0.25">
      <c r="A2671" s="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</row>
    <row r="2672" spans="1:19" x14ac:dyDescent="0.25">
      <c r="A2672" s="1"/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</row>
    <row r="2673" spans="1:19" x14ac:dyDescent="0.25">
      <c r="A2673" s="1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</row>
    <row r="2674" spans="1:19" x14ac:dyDescent="0.25">
      <c r="A2674" s="1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</row>
    <row r="2675" spans="1:19" x14ac:dyDescent="0.25">
      <c r="A2675" s="1"/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</row>
    <row r="2676" spans="1:19" x14ac:dyDescent="0.25">
      <c r="A2676" s="1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</row>
    <row r="2677" spans="1:19" x14ac:dyDescent="0.25">
      <c r="A2677" s="1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</row>
    <row r="2678" spans="1:19" x14ac:dyDescent="0.25">
      <c r="A2678" s="1"/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</row>
    <row r="2679" spans="1:19" x14ac:dyDescent="0.25">
      <c r="A2679" s="1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</row>
    <row r="2680" spans="1:19" x14ac:dyDescent="0.25">
      <c r="A2680" s="1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</row>
    <row r="2681" spans="1:19" x14ac:dyDescent="0.25">
      <c r="A2681" s="1"/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</row>
    <row r="2682" spans="1:19" x14ac:dyDescent="0.25">
      <c r="A2682" s="1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</row>
    <row r="2683" spans="1:19" x14ac:dyDescent="0.25">
      <c r="A2683" s="1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</row>
    <row r="2684" spans="1:19" x14ac:dyDescent="0.25">
      <c r="A2684" s="1"/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</row>
    <row r="2685" spans="1:19" x14ac:dyDescent="0.25">
      <c r="A2685" s="1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</row>
    <row r="2686" spans="1:19" x14ac:dyDescent="0.25">
      <c r="A2686" s="1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</row>
    <row r="2687" spans="1:19" x14ac:dyDescent="0.25">
      <c r="A2687" s="1"/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</row>
    <row r="2688" spans="1:19" x14ac:dyDescent="0.25">
      <c r="A2688" s="1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</row>
    <row r="2689" spans="1:19" x14ac:dyDescent="0.25">
      <c r="A2689" s="1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</row>
    <row r="2690" spans="1:19" x14ac:dyDescent="0.25">
      <c r="A2690" s="1"/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</row>
    <row r="2691" spans="1:19" x14ac:dyDescent="0.25">
      <c r="A2691" s="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</row>
    <row r="2692" spans="1:19" x14ac:dyDescent="0.25">
      <c r="A2692" s="1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</row>
    <row r="2693" spans="1:19" x14ac:dyDescent="0.25">
      <c r="A2693" s="1"/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</row>
    <row r="2694" spans="1:19" x14ac:dyDescent="0.25">
      <c r="A2694" s="1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</row>
    <row r="2695" spans="1:19" x14ac:dyDescent="0.25">
      <c r="A2695" s="1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</row>
    <row r="2696" spans="1:19" x14ac:dyDescent="0.25">
      <c r="A2696" s="1"/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</row>
    <row r="2697" spans="1:19" x14ac:dyDescent="0.25">
      <c r="A2697" s="1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</row>
    <row r="2698" spans="1:19" x14ac:dyDescent="0.25">
      <c r="A2698" s="1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</row>
    <row r="2699" spans="1:19" x14ac:dyDescent="0.25">
      <c r="A2699" s="1"/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</row>
    <row r="2700" spans="1:19" x14ac:dyDescent="0.25">
      <c r="A2700" s="1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</row>
    <row r="2701" spans="1:19" x14ac:dyDescent="0.25">
      <c r="A2701" s="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</row>
    <row r="2702" spans="1:19" x14ac:dyDescent="0.25">
      <c r="A2702" s="1"/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</row>
    <row r="2703" spans="1:19" x14ac:dyDescent="0.25">
      <c r="A2703" s="1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</row>
    <row r="2704" spans="1:19" x14ac:dyDescent="0.25">
      <c r="A2704" s="1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</row>
    <row r="2705" spans="1:19" x14ac:dyDescent="0.25">
      <c r="A2705" s="1"/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</row>
    <row r="2706" spans="1:19" x14ac:dyDescent="0.25">
      <c r="A2706" s="1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</row>
    <row r="2707" spans="1:19" x14ac:dyDescent="0.25">
      <c r="A2707" s="1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</row>
    <row r="2708" spans="1:19" x14ac:dyDescent="0.25">
      <c r="A2708" s="1"/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</row>
    <row r="2709" spans="1:19" x14ac:dyDescent="0.25">
      <c r="A2709" s="1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</row>
    <row r="2710" spans="1:19" x14ac:dyDescent="0.25">
      <c r="A2710" s="1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</row>
    <row r="2711" spans="1:19" x14ac:dyDescent="0.25">
      <c r="A2711" s="1"/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</row>
    <row r="2712" spans="1:19" x14ac:dyDescent="0.25">
      <c r="A2712" s="1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</row>
    <row r="2713" spans="1:19" x14ac:dyDescent="0.25">
      <c r="A2713" s="1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</row>
    <row r="2714" spans="1:19" x14ac:dyDescent="0.25">
      <c r="A2714" s="1"/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</row>
    <row r="2715" spans="1:19" x14ac:dyDescent="0.25">
      <c r="A2715" s="1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</row>
    <row r="2716" spans="1:19" x14ac:dyDescent="0.25">
      <c r="A2716" s="1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</row>
    <row r="2717" spans="1:19" x14ac:dyDescent="0.25">
      <c r="A2717" s="1"/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</row>
    <row r="2718" spans="1:19" x14ac:dyDescent="0.25">
      <c r="A2718" s="1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</row>
    <row r="2719" spans="1:19" x14ac:dyDescent="0.25">
      <c r="A2719" s="1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</row>
    <row r="2720" spans="1:19" x14ac:dyDescent="0.25">
      <c r="A2720" s="1"/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</row>
    <row r="2721" spans="1:19" x14ac:dyDescent="0.25">
      <c r="A2721" s="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</row>
    <row r="2722" spans="1:19" x14ac:dyDescent="0.25">
      <c r="A2722" s="1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</row>
    <row r="2723" spans="1:19" x14ac:dyDescent="0.25">
      <c r="A2723" s="1"/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</row>
    <row r="2724" spans="1:19" x14ac:dyDescent="0.25">
      <c r="A2724" s="1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</row>
    <row r="2725" spans="1:19" x14ac:dyDescent="0.25">
      <c r="A2725" s="1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</row>
    <row r="2726" spans="1:19" x14ac:dyDescent="0.25">
      <c r="A2726" s="1"/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</row>
    <row r="2727" spans="1:19" x14ac:dyDescent="0.25">
      <c r="A2727" s="1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</row>
    <row r="2728" spans="1:19" x14ac:dyDescent="0.25">
      <c r="A2728" s="1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</row>
    <row r="2729" spans="1:19" x14ac:dyDescent="0.25">
      <c r="A2729" s="1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</row>
    <row r="2730" spans="1:19" x14ac:dyDescent="0.25">
      <c r="A2730" s="1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</row>
    <row r="2731" spans="1:19" x14ac:dyDescent="0.25">
      <c r="A2731" s="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</row>
    <row r="2732" spans="1:19" x14ac:dyDescent="0.25">
      <c r="A2732" s="1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</row>
    <row r="2733" spans="1:19" x14ac:dyDescent="0.25">
      <c r="A2733" s="1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</row>
    <row r="2734" spans="1:19" x14ac:dyDescent="0.25">
      <c r="A2734" s="1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</row>
    <row r="2735" spans="1:19" x14ac:dyDescent="0.25">
      <c r="A2735" s="1"/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</row>
    <row r="2736" spans="1:19" x14ac:dyDescent="0.25">
      <c r="A2736" s="1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</row>
    <row r="2737" spans="1:19" x14ac:dyDescent="0.25">
      <c r="A2737" s="1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</row>
    <row r="2738" spans="1:19" x14ac:dyDescent="0.25">
      <c r="A2738" s="1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</row>
    <row r="2739" spans="1:19" x14ac:dyDescent="0.25">
      <c r="A2739" s="1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</row>
    <row r="2740" spans="1:19" x14ac:dyDescent="0.25">
      <c r="A2740" s="1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</row>
    <row r="2741" spans="1:19" x14ac:dyDescent="0.25">
      <c r="A2741" s="1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</row>
    <row r="2742" spans="1:19" x14ac:dyDescent="0.25">
      <c r="A2742" s="1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</row>
    <row r="2743" spans="1:19" x14ac:dyDescent="0.25">
      <c r="A2743" s="1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</row>
    <row r="2744" spans="1:19" x14ac:dyDescent="0.25">
      <c r="A2744" s="1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</row>
    <row r="2745" spans="1:19" x14ac:dyDescent="0.25">
      <c r="A2745" s="1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</row>
    <row r="2746" spans="1:19" x14ac:dyDescent="0.25">
      <c r="A2746" s="1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</row>
    <row r="2747" spans="1:19" x14ac:dyDescent="0.25">
      <c r="A2747" s="1"/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</row>
    <row r="2748" spans="1:19" x14ac:dyDescent="0.25">
      <c r="A2748" s="1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</row>
    <row r="2749" spans="1:19" x14ac:dyDescent="0.25">
      <c r="A2749" s="1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</row>
    <row r="2750" spans="1:19" x14ac:dyDescent="0.25">
      <c r="A2750" s="1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</row>
    <row r="2751" spans="1:19" x14ac:dyDescent="0.25">
      <c r="A2751" s="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</row>
    <row r="2752" spans="1:19" x14ac:dyDescent="0.25">
      <c r="A2752" s="1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</row>
    <row r="2753" spans="1:19" x14ac:dyDescent="0.25">
      <c r="A2753" s="1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</row>
    <row r="2754" spans="1:19" x14ac:dyDescent="0.25">
      <c r="A2754" s="1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</row>
    <row r="2755" spans="1:19" x14ac:dyDescent="0.25">
      <c r="A2755" s="1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</row>
    <row r="2756" spans="1:19" x14ac:dyDescent="0.25">
      <c r="A2756" s="1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</row>
    <row r="2757" spans="1:19" x14ac:dyDescent="0.25">
      <c r="A2757" s="1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</row>
    <row r="2758" spans="1:19" x14ac:dyDescent="0.25">
      <c r="A2758" s="1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</row>
    <row r="2759" spans="1:19" x14ac:dyDescent="0.25">
      <c r="A2759" s="1"/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</row>
    <row r="2760" spans="1:19" x14ac:dyDescent="0.25">
      <c r="A2760" s="1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</row>
    <row r="2761" spans="1:19" x14ac:dyDescent="0.25">
      <c r="A2761" s="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</row>
    <row r="2762" spans="1:19" x14ac:dyDescent="0.25">
      <c r="A2762" s="1"/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</row>
    <row r="2763" spans="1:19" x14ac:dyDescent="0.25">
      <c r="A2763" s="1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</row>
    <row r="2764" spans="1:19" x14ac:dyDescent="0.25">
      <c r="A2764" s="1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</row>
    <row r="2765" spans="1:19" x14ac:dyDescent="0.25">
      <c r="A2765" s="1"/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</row>
    <row r="2766" spans="1:19" x14ac:dyDescent="0.25">
      <c r="A2766" s="1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</row>
    <row r="2767" spans="1:19" x14ac:dyDescent="0.25">
      <c r="A2767" s="1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</row>
    <row r="2768" spans="1:19" x14ac:dyDescent="0.25">
      <c r="A2768" s="1"/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</row>
    <row r="2769" spans="1:19" x14ac:dyDescent="0.25">
      <c r="A2769" s="1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</row>
    <row r="2770" spans="1:19" x14ac:dyDescent="0.25">
      <c r="A2770" s="1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</row>
    <row r="2771" spans="1:19" x14ac:dyDescent="0.25">
      <c r="A2771" s="1"/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</row>
    <row r="2772" spans="1:19" x14ac:dyDescent="0.25">
      <c r="A2772" s="1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</row>
    <row r="2773" spans="1:19" x14ac:dyDescent="0.25">
      <c r="A2773" s="1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</row>
    <row r="2774" spans="1:19" x14ac:dyDescent="0.25">
      <c r="A2774" s="1"/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</row>
    <row r="2775" spans="1:19" x14ac:dyDescent="0.25">
      <c r="A2775" s="1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</row>
    <row r="2776" spans="1:19" x14ac:dyDescent="0.25">
      <c r="A2776" s="1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</row>
    <row r="2777" spans="1:19" x14ac:dyDescent="0.25">
      <c r="A2777" s="1"/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</row>
    <row r="2778" spans="1:19" x14ac:dyDescent="0.25">
      <c r="A2778" s="1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</row>
    <row r="2779" spans="1:19" x14ac:dyDescent="0.25">
      <c r="A2779" s="1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</row>
    <row r="2780" spans="1:19" x14ac:dyDescent="0.25">
      <c r="A2780" s="1"/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</row>
    <row r="2781" spans="1:19" x14ac:dyDescent="0.25">
      <c r="A2781" s="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</row>
    <row r="2782" spans="1:19" x14ac:dyDescent="0.25">
      <c r="A2782" s="1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</row>
    <row r="2783" spans="1:19" x14ac:dyDescent="0.25">
      <c r="A2783" s="1"/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</row>
    <row r="2784" spans="1:19" x14ac:dyDescent="0.25">
      <c r="A2784" s="1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</row>
    <row r="2785" spans="1:19" x14ac:dyDescent="0.25">
      <c r="A2785" s="1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</row>
    <row r="2786" spans="1:19" x14ac:dyDescent="0.25">
      <c r="A2786" s="1"/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</row>
    <row r="2787" spans="1:19" x14ac:dyDescent="0.25">
      <c r="A2787" s="1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</row>
    <row r="2788" spans="1:19" x14ac:dyDescent="0.25">
      <c r="A2788" s="1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</row>
    <row r="2789" spans="1:19" x14ac:dyDescent="0.25">
      <c r="A2789" s="1"/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</row>
    <row r="2790" spans="1:19" x14ac:dyDescent="0.25">
      <c r="A2790" s="1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</row>
    <row r="2791" spans="1:19" x14ac:dyDescent="0.25">
      <c r="A2791" s="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</row>
    <row r="2792" spans="1:19" x14ac:dyDescent="0.25">
      <c r="A2792" s="1"/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</row>
    <row r="2793" spans="1:19" x14ac:dyDescent="0.25">
      <c r="A2793" s="1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</row>
    <row r="2794" spans="1:19" x14ac:dyDescent="0.25">
      <c r="A2794" s="1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</row>
    <row r="2795" spans="1:19" x14ac:dyDescent="0.25">
      <c r="A2795" s="1"/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</row>
    <row r="2796" spans="1:19" x14ac:dyDescent="0.25">
      <c r="A2796" s="1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</row>
    <row r="2797" spans="1:19" x14ac:dyDescent="0.25">
      <c r="A2797" s="1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</row>
    <row r="2798" spans="1:19" x14ac:dyDescent="0.25">
      <c r="A2798" s="1"/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</row>
    <row r="2799" spans="1:19" x14ac:dyDescent="0.25">
      <c r="A2799" s="1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</row>
    <row r="2800" spans="1:19" x14ac:dyDescent="0.25">
      <c r="A2800" s="1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</row>
    <row r="2801" spans="1:19" x14ac:dyDescent="0.25">
      <c r="A2801" s="1"/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</row>
    <row r="2802" spans="1:19" x14ac:dyDescent="0.25">
      <c r="A2802" s="1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</row>
    <row r="2803" spans="1:19" x14ac:dyDescent="0.25">
      <c r="A2803" s="1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</row>
    <row r="2804" spans="1:19" x14ac:dyDescent="0.25">
      <c r="A2804" s="1"/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</row>
    <row r="2805" spans="1:19" x14ac:dyDescent="0.25">
      <c r="A2805" s="1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</row>
    <row r="2806" spans="1:19" x14ac:dyDescent="0.25">
      <c r="A2806" s="1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</row>
    <row r="2807" spans="1:19" x14ac:dyDescent="0.25">
      <c r="A2807" s="1"/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</row>
    <row r="2808" spans="1:19" x14ac:dyDescent="0.25">
      <c r="A2808" s="1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</row>
    <row r="2809" spans="1:19" x14ac:dyDescent="0.25">
      <c r="A2809" s="1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</row>
    <row r="2810" spans="1:19" x14ac:dyDescent="0.25">
      <c r="A2810" s="1"/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</row>
    <row r="2811" spans="1:19" x14ac:dyDescent="0.25">
      <c r="A2811" s="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</row>
    <row r="2812" spans="1:19" x14ac:dyDescent="0.25">
      <c r="A2812" s="1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</row>
    <row r="2813" spans="1:19" x14ac:dyDescent="0.25">
      <c r="A2813" s="1"/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</row>
    <row r="2814" spans="1:19" x14ac:dyDescent="0.25">
      <c r="A2814" s="1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</row>
    <row r="2815" spans="1:19" x14ac:dyDescent="0.25">
      <c r="A2815" s="1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</row>
    <row r="2816" spans="1:19" x14ac:dyDescent="0.25">
      <c r="A2816" s="1"/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</row>
    <row r="2817" spans="1:19" x14ac:dyDescent="0.25">
      <c r="A2817" s="1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</row>
    <row r="2818" spans="1:19" x14ac:dyDescent="0.25">
      <c r="A2818" s="1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</row>
    <row r="2819" spans="1:19" x14ac:dyDescent="0.25">
      <c r="A2819" s="1"/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</row>
    <row r="2820" spans="1:19" x14ac:dyDescent="0.25">
      <c r="A2820" s="1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</row>
    <row r="2821" spans="1:19" x14ac:dyDescent="0.25">
      <c r="A2821" s="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</row>
    <row r="2822" spans="1:19" x14ac:dyDescent="0.25">
      <c r="A2822" s="1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</row>
    <row r="2823" spans="1:19" x14ac:dyDescent="0.25">
      <c r="A2823" s="1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</row>
    <row r="2824" spans="1:19" x14ac:dyDescent="0.25">
      <c r="A2824" s="1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</row>
    <row r="2825" spans="1:19" x14ac:dyDescent="0.25">
      <c r="A2825" s="1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</row>
    <row r="2826" spans="1:19" x14ac:dyDescent="0.25">
      <c r="A2826" s="1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</row>
    <row r="2827" spans="1:19" x14ac:dyDescent="0.25">
      <c r="A2827" s="1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</row>
    <row r="2828" spans="1:19" x14ac:dyDescent="0.25">
      <c r="A2828" s="1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</row>
    <row r="2829" spans="1:19" x14ac:dyDescent="0.25">
      <c r="A2829" s="1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</row>
    <row r="2830" spans="1:19" x14ac:dyDescent="0.25">
      <c r="A2830" s="1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</row>
    <row r="2831" spans="1:19" x14ac:dyDescent="0.25">
      <c r="A2831" s="1"/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</row>
    <row r="2832" spans="1:19" x14ac:dyDescent="0.25">
      <c r="A2832" s="1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</row>
    <row r="2833" spans="1:19" x14ac:dyDescent="0.25">
      <c r="A2833" s="1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</row>
    <row r="2834" spans="1:19" x14ac:dyDescent="0.25">
      <c r="A2834" s="1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</row>
    <row r="2835" spans="1:19" x14ac:dyDescent="0.25">
      <c r="A2835" s="1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</row>
    <row r="2836" spans="1:19" x14ac:dyDescent="0.25">
      <c r="A2836" s="1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</row>
    <row r="2837" spans="1:19" x14ac:dyDescent="0.25">
      <c r="A2837" s="1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</row>
    <row r="2838" spans="1:19" x14ac:dyDescent="0.25">
      <c r="A2838" s="1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</row>
    <row r="2839" spans="1:19" x14ac:dyDescent="0.25">
      <c r="A2839" s="1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</row>
    <row r="2840" spans="1:19" x14ac:dyDescent="0.25">
      <c r="A2840" s="1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</row>
    <row r="2841" spans="1:19" x14ac:dyDescent="0.25">
      <c r="A2841" s="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</row>
    <row r="2842" spans="1:19" x14ac:dyDescent="0.25">
      <c r="A2842" s="1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</row>
    <row r="2843" spans="1:19" x14ac:dyDescent="0.25">
      <c r="A2843" s="1"/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</row>
    <row r="2844" spans="1:19" x14ac:dyDescent="0.25">
      <c r="A2844" s="1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</row>
    <row r="2845" spans="1:19" x14ac:dyDescent="0.25">
      <c r="A2845" s="1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</row>
    <row r="2846" spans="1:19" x14ac:dyDescent="0.25">
      <c r="A2846" s="1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</row>
    <row r="2847" spans="1:19" x14ac:dyDescent="0.25">
      <c r="A2847" s="1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</row>
    <row r="2848" spans="1:19" x14ac:dyDescent="0.25">
      <c r="A2848" s="1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</row>
    <row r="2849" spans="1:19" x14ac:dyDescent="0.25">
      <c r="A2849" s="1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</row>
    <row r="2850" spans="1:19" x14ac:dyDescent="0.25">
      <c r="A2850" s="1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</row>
    <row r="2851" spans="1:19" x14ac:dyDescent="0.25">
      <c r="A2851" s="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</row>
    <row r="2852" spans="1:19" x14ac:dyDescent="0.25">
      <c r="A2852" s="1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</row>
    <row r="2853" spans="1:19" x14ac:dyDescent="0.25">
      <c r="A2853" s="1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</row>
    <row r="2854" spans="1:19" x14ac:dyDescent="0.25">
      <c r="A2854" s="1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</row>
    <row r="2855" spans="1:19" x14ac:dyDescent="0.25">
      <c r="A2855" s="1"/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</row>
    <row r="2856" spans="1:19" x14ac:dyDescent="0.25">
      <c r="A2856" s="1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</row>
    <row r="2857" spans="1:19" x14ac:dyDescent="0.25">
      <c r="A2857" s="1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</row>
    <row r="2858" spans="1:19" x14ac:dyDescent="0.25">
      <c r="A2858" s="1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</row>
    <row r="2859" spans="1:19" x14ac:dyDescent="0.25">
      <c r="A2859" s="1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</row>
    <row r="2860" spans="1:19" x14ac:dyDescent="0.25">
      <c r="A2860" s="1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</row>
    <row r="2861" spans="1:19" x14ac:dyDescent="0.25">
      <c r="A2861" s="1"/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</row>
    <row r="2862" spans="1:19" x14ac:dyDescent="0.25">
      <c r="A2862" s="1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</row>
    <row r="2863" spans="1:19" x14ac:dyDescent="0.25">
      <c r="A2863" s="1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</row>
    <row r="2864" spans="1:19" x14ac:dyDescent="0.25">
      <c r="A2864" s="1"/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</row>
    <row r="2865" spans="1:19" x14ac:dyDescent="0.25">
      <c r="A2865" s="1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</row>
    <row r="2866" spans="1:19" x14ac:dyDescent="0.25">
      <c r="A2866" s="1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</row>
    <row r="2867" spans="1:19" x14ac:dyDescent="0.25">
      <c r="A2867" s="1"/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</row>
    <row r="2868" spans="1:19" x14ac:dyDescent="0.25">
      <c r="A2868" s="1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</row>
    <row r="2869" spans="1:19" x14ac:dyDescent="0.25">
      <c r="A2869" s="1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</row>
    <row r="2870" spans="1:19" x14ac:dyDescent="0.25">
      <c r="A2870" s="1"/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</row>
    <row r="2871" spans="1:19" x14ac:dyDescent="0.25">
      <c r="A2871" s="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</row>
    <row r="2872" spans="1:19" x14ac:dyDescent="0.25">
      <c r="A2872" s="1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</row>
    <row r="2873" spans="1:19" x14ac:dyDescent="0.25">
      <c r="A2873" s="1"/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</row>
    <row r="2874" spans="1:19" x14ac:dyDescent="0.25">
      <c r="A2874" s="1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</row>
    <row r="2875" spans="1:19" x14ac:dyDescent="0.25">
      <c r="A2875" s="1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</row>
    <row r="2876" spans="1:19" x14ac:dyDescent="0.25">
      <c r="A2876" s="1"/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</row>
    <row r="2877" spans="1:19" x14ac:dyDescent="0.25">
      <c r="A2877" s="1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</row>
    <row r="2878" spans="1:19" x14ac:dyDescent="0.25">
      <c r="A2878" s="1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</row>
    <row r="2879" spans="1:19" x14ac:dyDescent="0.25">
      <c r="A2879" s="1"/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</row>
    <row r="2880" spans="1:19" x14ac:dyDescent="0.25">
      <c r="A2880" s="1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</row>
    <row r="2881" spans="1:19" x14ac:dyDescent="0.25">
      <c r="A2881" s="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</row>
    <row r="2882" spans="1:19" x14ac:dyDescent="0.25">
      <c r="A2882" s="1"/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</row>
    <row r="2883" spans="1:19" x14ac:dyDescent="0.25">
      <c r="A2883" s="1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</row>
    <row r="2884" spans="1:19" x14ac:dyDescent="0.25">
      <c r="A2884" s="1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</row>
    <row r="2885" spans="1:19" x14ac:dyDescent="0.25">
      <c r="A2885" s="1"/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</row>
    <row r="2886" spans="1:19" x14ac:dyDescent="0.25">
      <c r="A2886" s="1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</row>
    <row r="2887" spans="1:19" x14ac:dyDescent="0.25">
      <c r="A2887" s="1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</row>
    <row r="2888" spans="1:19" x14ac:dyDescent="0.25">
      <c r="A2888" s="1"/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</row>
    <row r="2889" spans="1:19" x14ac:dyDescent="0.25">
      <c r="A2889" s="1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</row>
    <row r="2890" spans="1:19" x14ac:dyDescent="0.25">
      <c r="A2890" s="1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</row>
    <row r="2891" spans="1:19" x14ac:dyDescent="0.25">
      <c r="A2891" s="1"/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</row>
    <row r="2892" spans="1:19" x14ac:dyDescent="0.25">
      <c r="A2892" s="1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</row>
    <row r="2893" spans="1:19" x14ac:dyDescent="0.25">
      <c r="A2893" s="1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</row>
    <row r="2894" spans="1:19" x14ac:dyDescent="0.25">
      <c r="A2894" s="1"/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</row>
    <row r="2895" spans="1:19" x14ac:dyDescent="0.25">
      <c r="A2895" s="1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</row>
    <row r="2896" spans="1:19" x14ac:dyDescent="0.25">
      <c r="A2896" s="1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</row>
    <row r="2897" spans="1:19" x14ac:dyDescent="0.25">
      <c r="A2897" s="1"/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</row>
    <row r="2898" spans="1:19" x14ac:dyDescent="0.25">
      <c r="A2898" s="1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</row>
    <row r="2899" spans="1:19" x14ac:dyDescent="0.25">
      <c r="A2899" s="1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</row>
    <row r="2900" spans="1:19" x14ac:dyDescent="0.25">
      <c r="A2900" s="1"/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</row>
    <row r="2901" spans="1:19" x14ac:dyDescent="0.25">
      <c r="A2901" s="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</row>
    <row r="2902" spans="1:19" x14ac:dyDescent="0.25">
      <c r="A2902" s="1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</row>
    <row r="2903" spans="1:19" x14ac:dyDescent="0.25">
      <c r="A2903" s="1"/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</row>
    <row r="2904" spans="1:19" x14ac:dyDescent="0.25">
      <c r="A2904" s="1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</row>
    <row r="2905" spans="1:19" x14ac:dyDescent="0.25">
      <c r="A2905" s="1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</row>
    <row r="2906" spans="1:19" x14ac:dyDescent="0.25">
      <c r="A2906" s="1"/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</row>
    <row r="2907" spans="1:19" x14ac:dyDescent="0.25">
      <c r="A2907" s="1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</row>
    <row r="2908" spans="1:19" x14ac:dyDescent="0.25">
      <c r="A2908" s="1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</row>
    <row r="2909" spans="1:19" x14ac:dyDescent="0.25">
      <c r="A2909" s="1"/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</row>
    <row r="2910" spans="1:19" x14ac:dyDescent="0.25">
      <c r="A2910" s="1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</row>
    <row r="2911" spans="1:19" x14ac:dyDescent="0.25">
      <c r="A2911" s="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</row>
    <row r="2912" spans="1:19" x14ac:dyDescent="0.25">
      <c r="A2912" s="1"/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</row>
    <row r="2913" spans="1:19" x14ac:dyDescent="0.25">
      <c r="A2913" s="1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</row>
    <row r="2914" spans="1:19" x14ac:dyDescent="0.25">
      <c r="A2914" s="1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</row>
    <row r="2915" spans="1:19" x14ac:dyDescent="0.25">
      <c r="A2915" s="1"/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</row>
    <row r="2916" spans="1:19" x14ac:dyDescent="0.25">
      <c r="A2916" s="1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</row>
    <row r="2917" spans="1:19" x14ac:dyDescent="0.25">
      <c r="A2917" s="1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</row>
    <row r="2918" spans="1:19" x14ac:dyDescent="0.25">
      <c r="A2918" s="1"/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</row>
    <row r="2919" spans="1:19" x14ac:dyDescent="0.25">
      <c r="A2919" s="1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</row>
    <row r="2920" spans="1:19" x14ac:dyDescent="0.25">
      <c r="A2920" s="1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</row>
    <row r="2921" spans="1:19" x14ac:dyDescent="0.25">
      <c r="A2921" s="1"/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</row>
    <row r="2922" spans="1:19" x14ac:dyDescent="0.25">
      <c r="A2922" s="1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</row>
    <row r="2923" spans="1:19" x14ac:dyDescent="0.25">
      <c r="A2923" s="1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</row>
    <row r="2924" spans="1:19" x14ac:dyDescent="0.25">
      <c r="A2924" s="1"/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</row>
    <row r="2925" spans="1:19" x14ac:dyDescent="0.25">
      <c r="A2925" s="1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</row>
    <row r="2926" spans="1:19" x14ac:dyDescent="0.25">
      <c r="A2926" s="1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</row>
    <row r="2927" spans="1:19" x14ac:dyDescent="0.25">
      <c r="A2927" s="1"/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</row>
    <row r="2928" spans="1:19" x14ac:dyDescent="0.25">
      <c r="A2928" s="1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</row>
    <row r="2929" spans="1:19" x14ac:dyDescent="0.25">
      <c r="A2929" s="1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</row>
    <row r="2930" spans="1:19" x14ac:dyDescent="0.25">
      <c r="A2930" s="1"/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</row>
    <row r="2931" spans="1:19" x14ac:dyDescent="0.25">
      <c r="A2931" s="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</row>
    <row r="2932" spans="1:19" x14ac:dyDescent="0.25">
      <c r="A2932" s="1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</row>
    <row r="2933" spans="1:19" x14ac:dyDescent="0.25">
      <c r="A2933" s="1"/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</row>
    <row r="2934" spans="1:19" x14ac:dyDescent="0.25">
      <c r="A2934" s="1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</row>
    <row r="2935" spans="1:19" x14ac:dyDescent="0.25">
      <c r="A2935" s="1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</row>
    <row r="2936" spans="1:19" x14ac:dyDescent="0.25">
      <c r="A2936" s="1"/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</row>
    <row r="2937" spans="1:19" x14ac:dyDescent="0.25">
      <c r="A2937" s="1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</row>
    <row r="2938" spans="1:19" x14ac:dyDescent="0.25">
      <c r="A2938" s="1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</row>
    <row r="2939" spans="1:19" x14ac:dyDescent="0.25">
      <c r="A2939" s="1"/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</row>
    <row r="2940" spans="1:19" x14ac:dyDescent="0.25">
      <c r="A2940" s="1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</row>
    <row r="2941" spans="1:19" x14ac:dyDescent="0.25">
      <c r="A2941" s="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</row>
    <row r="2942" spans="1:19" x14ac:dyDescent="0.25">
      <c r="A2942" s="1"/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</row>
    <row r="2943" spans="1:19" x14ac:dyDescent="0.25">
      <c r="A2943" s="1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</row>
    <row r="2944" spans="1:19" x14ac:dyDescent="0.25">
      <c r="A2944" s="1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</row>
    <row r="2945" spans="1:19" x14ac:dyDescent="0.25">
      <c r="A2945" s="1"/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</row>
    <row r="2946" spans="1:19" x14ac:dyDescent="0.25">
      <c r="A2946" s="1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</row>
    <row r="2947" spans="1:19" x14ac:dyDescent="0.25">
      <c r="A2947" s="1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</row>
    <row r="2948" spans="1:19" x14ac:dyDescent="0.25">
      <c r="A2948" s="1"/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</row>
    <row r="2949" spans="1:19" x14ac:dyDescent="0.25">
      <c r="A2949" s="1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</row>
    <row r="2950" spans="1:19" x14ac:dyDescent="0.25">
      <c r="A2950" s="1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</row>
    <row r="2951" spans="1:19" x14ac:dyDescent="0.25">
      <c r="A2951" s="1"/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</row>
    <row r="2952" spans="1:19" x14ac:dyDescent="0.25">
      <c r="A2952" s="1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</row>
    <row r="2953" spans="1:19" x14ac:dyDescent="0.25">
      <c r="A2953" s="1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</row>
    <row r="2954" spans="1:19" x14ac:dyDescent="0.25">
      <c r="A2954" s="1"/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</row>
    <row r="2955" spans="1:19" x14ac:dyDescent="0.25">
      <c r="A2955" s="1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</row>
    <row r="2956" spans="1:19" x14ac:dyDescent="0.25">
      <c r="A2956" s="1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</row>
    <row r="2957" spans="1:19" x14ac:dyDescent="0.25">
      <c r="A2957" s="1"/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</row>
    <row r="2958" spans="1:19" x14ac:dyDescent="0.25">
      <c r="A2958" s="1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</row>
    <row r="2959" spans="1:19" x14ac:dyDescent="0.25">
      <c r="A2959" s="1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</row>
    <row r="2960" spans="1:19" x14ac:dyDescent="0.25">
      <c r="A2960" s="1"/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</row>
    <row r="2961" spans="1:19" x14ac:dyDescent="0.25">
      <c r="A2961" s="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</row>
    <row r="2962" spans="1:19" x14ac:dyDescent="0.25">
      <c r="A2962" s="1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</row>
    <row r="2963" spans="1:19" x14ac:dyDescent="0.25">
      <c r="A2963" s="1"/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</row>
    <row r="2964" spans="1:19" x14ac:dyDescent="0.25">
      <c r="A2964" s="1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</row>
    <row r="2965" spans="1:19" x14ac:dyDescent="0.25">
      <c r="A2965" s="1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</row>
    <row r="2966" spans="1:19" x14ac:dyDescent="0.25">
      <c r="A2966" s="1"/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</row>
    <row r="2967" spans="1:19" x14ac:dyDescent="0.25">
      <c r="A2967" s="1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</row>
    <row r="2968" spans="1:19" x14ac:dyDescent="0.25">
      <c r="A2968" s="1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</row>
    <row r="2969" spans="1:19" x14ac:dyDescent="0.25">
      <c r="A2969" s="1"/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</row>
    <row r="2970" spans="1:19" x14ac:dyDescent="0.25">
      <c r="A2970" s="1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</row>
    <row r="2971" spans="1:19" x14ac:dyDescent="0.25">
      <c r="A2971" s="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</row>
    <row r="2972" spans="1:19" x14ac:dyDescent="0.25">
      <c r="A2972" s="1"/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</row>
    <row r="2973" spans="1:19" x14ac:dyDescent="0.25">
      <c r="A2973" s="1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</row>
    <row r="2974" spans="1:19" x14ac:dyDescent="0.25">
      <c r="A2974" s="1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</row>
    <row r="2975" spans="1:19" x14ac:dyDescent="0.25">
      <c r="A2975" s="1"/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</row>
    <row r="2976" spans="1:19" x14ac:dyDescent="0.25">
      <c r="A2976" s="1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</row>
    <row r="2977" spans="1:19" x14ac:dyDescent="0.25">
      <c r="A2977" s="1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</row>
    <row r="2978" spans="1:19" x14ac:dyDescent="0.25">
      <c r="A2978" s="1"/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</row>
    <row r="2979" spans="1:19" x14ac:dyDescent="0.25">
      <c r="A2979" s="1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</row>
    <row r="2980" spans="1:19" x14ac:dyDescent="0.25">
      <c r="A2980" s="1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</row>
    <row r="2981" spans="1:19" x14ac:dyDescent="0.25">
      <c r="A2981" s="1"/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</row>
    <row r="2982" spans="1:19" x14ac:dyDescent="0.25">
      <c r="A2982" s="1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</row>
    <row r="2983" spans="1:19" x14ac:dyDescent="0.25">
      <c r="A2983" s="1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</row>
    <row r="2984" spans="1:19" x14ac:dyDescent="0.25">
      <c r="A2984" s="1"/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</row>
    <row r="2985" spans="1:19" x14ac:dyDescent="0.25">
      <c r="A2985" s="1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</row>
    <row r="2986" spans="1:19" x14ac:dyDescent="0.25">
      <c r="A2986" s="1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</row>
    <row r="2987" spans="1:19" x14ac:dyDescent="0.25">
      <c r="A2987" s="1"/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</row>
    <row r="2988" spans="1:19" x14ac:dyDescent="0.25">
      <c r="A2988" s="1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</row>
    <row r="2989" spans="1:19" x14ac:dyDescent="0.25">
      <c r="A2989" s="1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</row>
    <row r="2990" spans="1:19" x14ac:dyDescent="0.25">
      <c r="A2990" s="1"/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</row>
    <row r="2991" spans="1:19" x14ac:dyDescent="0.25">
      <c r="A2991" s="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</row>
    <row r="2992" spans="1:19" x14ac:dyDescent="0.25">
      <c r="A2992" s="1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</row>
    <row r="2993" spans="1:19" x14ac:dyDescent="0.25">
      <c r="A2993" s="1"/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</row>
    <row r="2994" spans="1:19" x14ac:dyDescent="0.25">
      <c r="A2994" s="1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</row>
    <row r="2995" spans="1:19" x14ac:dyDescent="0.25">
      <c r="A2995" s="1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</row>
    <row r="2996" spans="1:19" x14ac:dyDescent="0.25">
      <c r="A2996" s="1"/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</row>
    <row r="2997" spans="1:19" x14ac:dyDescent="0.25">
      <c r="A2997" s="1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</row>
    <row r="2998" spans="1:19" x14ac:dyDescent="0.25">
      <c r="A2998" s="1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</row>
    <row r="2999" spans="1:19" x14ac:dyDescent="0.25">
      <c r="A2999" s="1"/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</row>
    <row r="3000" spans="1:19" x14ac:dyDescent="0.25">
      <c r="A3000" s="1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</row>
    <row r="3001" spans="1:19" x14ac:dyDescent="0.25">
      <c r="A3001" s="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</row>
    <row r="3002" spans="1:19" x14ac:dyDescent="0.25">
      <c r="A3002" s="1"/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</row>
    <row r="3003" spans="1:19" x14ac:dyDescent="0.25">
      <c r="A3003" s="1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</row>
    <row r="3004" spans="1:19" x14ac:dyDescent="0.25">
      <c r="A3004" s="1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</row>
    <row r="3005" spans="1:19" x14ac:dyDescent="0.25">
      <c r="A3005" s="1"/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</row>
    <row r="3006" spans="1:19" x14ac:dyDescent="0.25">
      <c r="A3006" s="1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</row>
    <row r="3007" spans="1:19" x14ac:dyDescent="0.25">
      <c r="A3007" s="1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</row>
    <row r="3008" spans="1:19" x14ac:dyDescent="0.25">
      <c r="A3008" s="1"/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</row>
    <row r="3009" spans="1:19" x14ac:dyDescent="0.25">
      <c r="A3009" s="1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</row>
    <row r="3010" spans="1:19" x14ac:dyDescent="0.25">
      <c r="A3010" s="1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</row>
    <row r="3011" spans="1:19" x14ac:dyDescent="0.25">
      <c r="A3011" s="1"/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</row>
    <row r="3012" spans="1:19" x14ac:dyDescent="0.25">
      <c r="A3012" s="1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</row>
    <row r="3013" spans="1:19" x14ac:dyDescent="0.25">
      <c r="A3013" s="1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</row>
    <row r="3014" spans="1:19" x14ac:dyDescent="0.25">
      <c r="A3014" s="1"/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</row>
    <row r="3015" spans="1:19" x14ac:dyDescent="0.25">
      <c r="A3015" s="1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</row>
    <row r="3016" spans="1:19" x14ac:dyDescent="0.25">
      <c r="A3016" s="1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</row>
    <row r="3017" spans="1:19" x14ac:dyDescent="0.25">
      <c r="A3017" s="1"/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</row>
    <row r="3018" spans="1:19" x14ac:dyDescent="0.25">
      <c r="A3018" s="1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</row>
    <row r="3019" spans="1:19" x14ac:dyDescent="0.25">
      <c r="A3019" s="1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</row>
    <row r="3020" spans="1:19" x14ac:dyDescent="0.25">
      <c r="A3020" s="1"/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</row>
    <row r="3021" spans="1:19" x14ac:dyDescent="0.25">
      <c r="A3021" s="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</row>
    <row r="3022" spans="1:19" x14ac:dyDescent="0.25">
      <c r="A3022" s="1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</row>
    <row r="3023" spans="1:19" x14ac:dyDescent="0.25">
      <c r="A3023" s="1"/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</row>
    <row r="3024" spans="1:19" x14ac:dyDescent="0.25">
      <c r="A3024" s="1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</row>
    <row r="3025" spans="1:19" x14ac:dyDescent="0.25">
      <c r="A3025" s="1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</row>
    <row r="3026" spans="1:19" x14ac:dyDescent="0.25">
      <c r="A3026" s="1"/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</row>
    <row r="3027" spans="1:19" x14ac:dyDescent="0.25">
      <c r="A3027" s="1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</row>
    <row r="3028" spans="1:19" x14ac:dyDescent="0.25">
      <c r="A3028" s="1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</row>
    <row r="3029" spans="1:19" x14ac:dyDescent="0.25">
      <c r="A3029" s="1"/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</row>
    <row r="3030" spans="1:19" x14ac:dyDescent="0.25">
      <c r="A3030" s="1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</row>
    <row r="3031" spans="1:19" x14ac:dyDescent="0.25">
      <c r="A3031" s="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</row>
    <row r="3032" spans="1:19" x14ac:dyDescent="0.25">
      <c r="A3032" s="1"/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</row>
    <row r="3033" spans="1:19" x14ac:dyDescent="0.25">
      <c r="A3033" s="1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</row>
    <row r="3034" spans="1:19" x14ac:dyDescent="0.25">
      <c r="A3034" s="1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</row>
    <row r="3035" spans="1:19" x14ac:dyDescent="0.25">
      <c r="A3035" s="1"/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</row>
    <row r="3036" spans="1:19" x14ac:dyDescent="0.25">
      <c r="A3036" s="1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</row>
    <row r="3037" spans="1:19" x14ac:dyDescent="0.25">
      <c r="A3037" s="1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</row>
    <row r="3038" spans="1:19" x14ac:dyDescent="0.25">
      <c r="A3038" s="1"/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</row>
    <row r="3039" spans="1:19" x14ac:dyDescent="0.25">
      <c r="A3039" s="1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</row>
    <row r="3040" spans="1:19" x14ac:dyDescent="0.25">
      <c r="A3040" s="1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</row>
    <row r="3041" spans="1:19" x14ac:dyDescent="0.25">
      <c r="A3041" s="1"/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</row>
    <row r="3042" spans="1:19" x14ac:dyDescent="0.25">
      <c r="A3042" s="1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</row>
    <row r="3043" spans="1:19" x14ac:dyDescent="0.25">
      <c r="A3043" s="1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</row>
    <row r="3044" spans="1:19" x14ac:dyDescent="0.25">
      <c r="A3044" s="1"/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</row>
    <row r="3045" spans="1:19" x14ac:dyDescent="0.25">
      <c r="A3045" s="1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</row>
    <row r="3046" spans="1:19" x14ac:dyDescent="0.25">
      <c r="A3046" s="1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</row>
    <row r="3047" spans="1:19" x14ac:dyDescent="0.25">
      <c r="A3047" s="1"/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</row>
    <row r="3048" spans="1:19" x14ac:dyDescent="0.25">
      <c r="A3048" s="1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</row>
    <row r="3049" spans="1:19" x14ac:dyDescent="0.25">
      <c r="A3049" s="1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</row>
    <row r="3050" spans="1:19" x14ac:dyDescent="0.25">
      <c r="A3050" s="1"/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</row>
    <row r="3051" spans="1:19" x14ac:dyDescent="0.25">
      <c r="A3051" s="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</row>
    <row r="3052" spans="1:19" x14ac:dyDescent="0.25">
      <c r="A3052" s="1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</row>
    <row r="3053" spans="1:19" x14ac:dyDescent="0.25">
      <c r="A3053" s="1"/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</row>
    <row r="3054" spans="1:19" x14ac:dyDescent="0.25">
      <c r="A3054" s="1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</row>
    <row r="3055" spans="1:19" x14ac:dyDescent="0.25">
      <c r="A3055" s="1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</row>
    <row r="3056" spans="1:19" x14ac:dyDescent="0.25">
      <c r="A3056" s="1"/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</row>
    <row r="3057" spans="1:19" x14ac:dyDescent="0.25">
      <c r="A3057" s="1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</row>
    <row r="3058" spans="1:19" x14ac:dyDescent="0.25">
      <c r="A3058" s="1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</row>
    <row r="3059" spans="1:19" x14ac:dyDescent="0.25">
      <c r="A3059" s="1"/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</row>
    <row r="3060" spans="1:19" x14ac:dyDescent="0.25">
      <c r="A3060" s="1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</row>
    <row r="3061" spans="1:19" x14ac:dyDescent="0.25">
      <c r="A3061" s="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</row>
    <row r="3062" spans="1:19" x14ac:dyDescent="0.25">
      <c r="A3062" s="1"/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</row>
    <row r="3063" spans="1:19" x14ac:dyDescent="0.25">
      <c r="A3063" s="1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</row>
    <row r="3064" spans="1:19" x14ac:dyDescent="0.25">
      <c r="A3064" s="1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</row>
    <row r="3065" spans="1:19" x14ac:dyDescent="0.25">
      <c r="A3065" s="1"/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</row>
    <row r="3066" spans="1:19" x14ac:dyDescent="0.25">
      <c r="A3066" s="1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</row>
    <row r="3067" spans="1:19" x14ac:dyDescent="0.25">
      <c r="A3067" s="1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</row>
    <row r="3068" spans="1:19" x14ac:dyDescent="0.25">
      <c r="A3068" s="1"/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</row>
    <row r="3069" spans="1:19" x14ac:dyDescent="0.25">
      <c r="A3069" s="1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</row>
    <row r="3070" spans="1:19" x14ac:dyDescent="0.25">
      <c r="A3070" s="1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</row>
    <row r="3071" spans="1:19" x14ac:dyDescent="0.25">
      <c r="A3071" s="1"/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</row>
    <row r="3072" spans="1:19" x14ac:dyDescent="0.25">
      <c r="A3072" s="1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</row>
    <row r="3073" spans="1:19" x14ac:dyDescent="0.25">
      <c r="A3073" s="1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</row>
    <row r="3074" spans="1:19" x14ac:dyDescent="0.25">
      <c r="A3074" s="1"/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</row>
    <row r="3075" spans="1:19" x14ac:dyDescent="0.25">
      <c r="A3075" s="1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</row>
    <row r="3076" spans="1:19" x14ac:dyDescent="0.25">
      <c r="A3076" s="1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</row>
    <row r="3077" spans="1:19" x14ac:dyDescent="0.25">
      <c r="A3077" s="1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</row>
    <row r="3078" spans="1:19" x14ac:dyDescent="0.25">
      <c r="A3078" s="1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</row>
    <row r="3079" spans="1:19" x14ac:dyDescent="0.25">
      <c r="A3079" s="1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</row>
    <row r="3080" spans="1:19" x14ac:dyDescent="0.25">
      <c r="A3080" s="1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</row>
    <row r="3081" spans="1:19" x14ac:dyDescent="0.25">
      <c r="A3081" s="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</row>
    <row r="3082" spans="1:19" x14ac:dyDescent="0.25">
      <c r="A3082" s="1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</row>
    <row r="3083" spans="1:19" x14ac:dyDescent="0.25">
      <c r="A3083" s="1"/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</row>
    <row r="3084" spans="1:19" x14ac:dyDescent="0.25">
      <c r="A3084" s="1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</row>
    <row r="3085" spans="1:19" x14ac:dyDescent="0.25">
      <c r="A3085" s="1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</row>
    <row r="3086" spans="1:19" x14ac:dyDescent="0.25">
      <c r="A3086" s="1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</row>
    <row r="3087" spans="1:19" x14ac:dyDescent="0.25">
      <c r="A3087" s="1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</row>
    <row r="3088" spans="1:19" x14ac:dyDescent="0.25">
      <c r="A3088" s="1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</row>
    <row r="3089" spans="1:19" x14ac:dyDescent="0.25">
      <c r="A3089" s="1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</row>
    <row r="3090" spans="1:19" x14ac:dyDescent="0.25">
      <c r="A3090" s="1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</row>
    <row r="3091" spans="1:19" x14ac:dyDescent="0.25">
      <c r="A3091" s="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</row>
    <row r="3092" spans="1:19" x14ac:dyDescent="0.25">
      <c r="A3092" s="1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</row>
    <row r="3093" spans="1:19" x14ac:dyDescent="0.25">
      <c r="A3093" s="1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</row>
    <row r="3094" spans="1:19" x14ac:dyDescent="0.25">
      <c r="A3094" s="1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</row>
    <row r="3095" spans="1:19" x14ac:dyDescent="0.25">
      <c r="A3095" s="1"/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</row>
    <row r="3096" spans="1:19" x14ac:dyDescent="0.25">
      <c r="A3096" s="1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</row>
    <row r="3097" spans="1:19" x14ac:dyDescent="0.25">
      <c r="A3097" s="1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</row>
    <row r="3098" spans="1:19" x14ac:dyDescent="0.25">
      <c r="A3098" s="1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</row>
    <row r="3099" spans="1:19" x14ac:dyDescent="0.25">
      <c r="A3099" s="1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</row>
    <row r="3100" spans="1:19" x14ac:dyDescent="0.25">
      <c r="A3100" s="1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</row>
    <row r="3101" spans="1:19" x14ac:dyDescent="0.25">
      <c r="A3101" s="1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</row>
    <row r="3102" spans="1:19" x14ac:dyDescent="0.25">
      <c r="A3102" s="1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</row>
    <row r="3103" spans="1:19" x14ac:dyDescent="0.25">
      <c r="A3103" s="1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</row>
    <row r="3104" spans="1:19" x14ac:dyDescent="0.25">
      <c r="A3104" s="1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</row>
    <row r="3105" spans="1:19" x14ac:dyDescent="0.25">
      <c r="A3105" s="1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</row>
    <row r="3106" spans="1:19" x14ac:dyDescent="0.25">
      <c r="A3106" s="1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</row>
    <row r="3107" spans="1:19" x14ac:dyDescent="0.25">
      <c r="A3107" s="1"/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</row>
    <row r="3108" spans="1:19" x14ac:dyDescent="0.25">
      <c r="A3108" s="1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</row>
    <row r="3109" spans="1:19" x14ac:dyDescent="0.25">
      <c r="A3109" s="1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</row>
    <row r="3110" spans="1:19" x14ac:dyDescent="0.25">
      <c r="A3110" s="1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</row>
    <row r="3111" spans="1:19" x14ac:dyDescent="0.25">
      <c r="A3111" s="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</row>
    <row r="3112" spans="1:19" x14ac:dyDescent="0.25">
      <c r="A3112" s="1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</row>
    <row r="3113" spans="1:19" x14ac:dyDescent="0.25">
      <c r="A3113" s="1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</row>
    <row r="3114" spans="1:19" x14ac:dyDescent="0.25">
      <c r="A3114" s="1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</row>
    <row r="3115" spans="1:19" x14ac:dyDescent="0.25">
      <c r="A3115" s="1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</row>
    <row r="3116" spans="1:19" x14ac:dyDescent="0.25">
      <c r="A3116" s="1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</row>
    <row r="3117" spans="1:19" x14ac:dyDescent="0.25">
      <c r="A3117" s="1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</row>
    <row r="3118" spans="1:19" x14ac:dyDescent="0.25">
      <c r="A3118" s="1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</row>
    <row r="3119" spans="1:19" x14ac:dyDescent="0.25">
      <c r="A3119" s="1"/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</row>
    <row r="3120" spans="1:19" x14ac:dyDescent="0.25">
      <c r="A3120" s="1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</row>
    <row r="3121" spans="1:19" x14ac:dyDescent="0.25">
      <c r="A3121" s="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</row>
    <row r="3122" spans="1:19" x14ac:dyDescent="0.25">
      <c r="A3122" s="1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</row>
    <row r="3123" spans="1:19" x14ac:dyDescent="0.25">
      <c r="A3123" s="1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</row>
    <row r="3124" spans="1:19" x14ac:dyDescent="0.25">
      <c r="A3124" s="1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</row>
    <row r="3125" spans="1:19" x14ac:dyDescent="0.25">
      <c r="A3125" s="1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</row>
    <row r="3126" spans="1:19" x14ac:dyDescent="0.25">
      <c r="A3126" s="1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</row>
    <row r="3127" spans="1:19" x14ac:dyDescent="0.25">
      <c r="A3127" s="1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</row>
    <row r="3128" spans="1:19" x14ac:dyDescent="0.25">
      <c r="A3128" s="1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</row>
    <row r="3129" spans="1:19" x14ac:dyDescent="0.25">
      <c r="A3129" s="1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</row>
    <row r="3130" spans="1:19" x14ac:dyDescent="0.25">
      <c r="A3130" s="1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</row>
    <row r="3131" spans="1:19" x14ac:dyDescent="0.25">
      <c r="A3131" s="1"/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</row>
    <row r="3132" spans="1:19" x14ac:dyDescent="0.25">
      <c r="A3132" s="1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</row>
    <row r="3133" spans="1:19" x14ac:dyDescent="0.25">
      <c r="A3133" s="1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</row>
    <row r="3134" spans="1:19" x14ac:dyDescent="0.25">
      <c r="A3134" s="1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</row>
    <row r="3135" spans="1:19" x14ac:dyDescent="0.25">
      <c r="A3135" s="1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</row>
    <row r="3136" spans="1:19" x14ac:dyDescent="0.25">
      <c r="A3136" s="1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</row>
    <row r="3137" spans="1:19" x14ac:dyDescent="0.25">
      <c r="A3137" s="1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</row>
    <row r="3138" spans="1:19" x14ac:dyDescent="0.25">
      <c r="A3138" s="1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</row>
    <row r="3139" spans="1:19" x14ac:dyDescent="0.25">
      <c r="A3139" s="1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</row>
    <row r="3140" spans="1:19" x14ac:dyDescent="0.25">
      <c r="A3140" s="1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</row>
    <row r="3141" spans="1:19" x14ac:dyDescent="0.25">
      <c r="A3141" s="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</row>
    <row r="3142" spans="1:19" x14ac:dyDescent="0.25">
      <c r="A3142" s="1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</row>
    <row r="3143" spans="1:19" x14ac:dyDescent="0.25">
      <c r="A3143" s="1"/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</row>
    <row r="3144" spans="1:19" x14ac:dyDescent="0.25">
      <c r="A3144" s="1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</row>
    <row r="3145" spans="1:19" x14ac:dyDescent="0.25">
      <c r="A3145" s="1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</row>
    <row r="3146" spans="1:19" x14ac:dyDescent="0.25">
      <c r="A3146" s="1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</row>
    <row r="3147" spans="1:19" x14ac:dyDescent="0.25">
      <c r="A3147" s="1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</row>
    <row r="3148" spans="1:19" x14ac:dyDescent="0.25">
      <c r="A3148" s="1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</row>
    <row r="3149" spans="1:19" x14ac:dyDescent="0.25">
      <c r="A3149" s="1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</row>
    <row r="3150" spans="1:19" x14ac:dyDescent="0.25">
      <c r="A3150" s="1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</row>
    <row r="3151" spans="1:19" x14ac:dyDescent="0.25">
      <c r="A3151" s="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</row>
    <row r="3152" spans="1:19" x14ac:dyDescent="0.25">
      <c r="A3152" s="1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</row>
    <row r="3153" spans="1:19" x14ac:dyDescent="0.25">
      <c r="A3153" s="1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</row>
    <row r="3154" spans="1:19" x14ac:dyDescent="0.25">
      <c r="A3154" s="1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</row>
    <row r="3155" spans="1:19" x14ac:dyDescent="0.25">
      <c r="A3155" s="1"/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</row>
    <row r="3156" spans="1:19" x14ac:dyDescent="0.25">
      <c r="A3156" s="1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</row>
    <row r="3157" spans="1:19" x14ac:dyDescent="0.25">
      <c r="A3157" s="1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</row>
    <row r="3158" spans="1:19" x14ac:dyDescent="0.25">
      <c r="A3158" s="1"/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</row>
    <row r="3159" spans="1:19" x14ac:dyDescent="0.25">
      <c r="A3159" s="1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</row>
    <row r="3160" spans="1:19" x14ac:dyDescent="0.25">
      <c r="A3160" s="1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</row>
    <row r="3161" spans="1:19" x14ac:dyDescent="0.25">
      <c r="A3161" s="1"/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</row>
    <row r="3162" spans="1:19" x14ac:dyDescent="0.25">
      <c r="A3162" s="1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</row>
    <row r="3163" spans="1:19" x14ac:dyDescent="0.25">
      <c r="A3163" s="1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</row>
    <row r="3164" spans="1:19" x14ac:dyDescent="0.25">
      <c r="A3164" s="1"/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</row>
    <row r="3165" spans="1:19" x14ac:dyDescent="0.25">
      <c r="A3165" s="1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</row>
    <row r="3166" spans="1:19" x14ac:dyDescent="0.25">
      <c r="A3166" s="1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</row>
    <row r="3167" spans="1:19" x14ac:dyDescent="0.25">
      <c r="A3167" s="1"/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</row>
    <row r="3168" spans="1:19" x14ac:dyDescent="0.25">
      <c r="A3168" s="1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</row>
    <row r="3169" spans="1:19" x14ac:dyDescent="0.25">
      <c r="A3169" s="1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</row>
    <row r="3170" spans="1:19" x14ac:dyDescent="0.25">
      <c r="A3170" s="1"/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</row>
    <row r="3171" spans="1:19" x14ac:dyDescent="0.25">
      <c r="A3171" s="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</row>
    <row r="3172" spans="1:19" x14ac:dyDescent="0.25">
      <c r="A3172" s="1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</row>
    <row r="3173" spans="1:19" x14ac:dyDescent="0.25">
      <c r="A3173" s="1"/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</row>
    <row r="3174" spans="1:19" x14ac:dyDescent="0.25">
      <c r="A3174" s="1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</row>
    <row r="3175" spans="1:19" x14ac:dyDescent="0.25">
      <c r="A3175" s="1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</row>
    <row r="3176" spans="1:19" x14ac:dyDescent="0.25">
      <c r="A3176" s="1"/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</row>
    <row r="3177" spans="1:19" x14ac:dyDescent="0.25">
      <c r="A3177" s="1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</row>
    <row r="3178" spans="1:19" x14ac:dyDescent="0.25">
      <c r="A3178" s="1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</row>
    <row r="3179" spans="1:19" x14ac:dyDescent="0.25">
      <c r="A3179" s="1"/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</row>
    <row r="3180" spans="1:19" x14ac:dyDescent="0.25">
      <c r="A3180" s="1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</row>
    <row r="3181" spans="1:19" x14ac:dyDescent="0.25">
      <c r="A3181" s="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</row>
    <row r="3182" spans="1:19" x14ac:dyDescent="0.25">
      <c r="A3182" s="1"/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</row>
    <row r="3183" spans="1:19" x14ac:dyDescent="0.25">
      <c r="A3183" s="1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</row>
    <row r="3184" spans="1:19" x14ac:dyDescent="0.25">
      <c r="A3184" s="1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</row>
    <row r="3185" spans="1:19" x14ac:dyDescent="0.25">
      <c r="A3185" s="1"/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</row>
    <row r="3186" spans="1:19" x14ac:dyDescent="0.25">
      <c r="A3186" s="1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</row>
    <row r="3187" spans="1:19" x14ac:dyDescent="0.25">
      <c r="A3187" s="1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</row>
    <row r="3188" spans="1:19" x14ac:dyDescent="0.25">
      <c r="A3188" s="1"/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</row>
    <row r="3189" spans="1:19" x14ac:dyDescent="0.25">
      <c r="A3189" s="1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</row>
    <row r="3190" spans="1:19" x14ac:dyDescent="0.25">
      <c r="A3190" s="1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</row>
    <row r="3191" spans="1:19" x14ac:dyDescent="0.25">
      <c r="A3191" s="1"/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</row>
    <row r="3192" spans="1:19" x14ac:dyDescent="0.25">
      <c r="A3192" s="1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</row>
    <row r="3193" spans="1:19" x14ac:dyDescent="0.25">
      <c r="A3193" s="1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</row>
    <row r="3194" spans="1:19" x14ac:dyDescent="0.25">
      <c r="A3194" s="1"/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</row>
    <row r="3195" spans="1:19" x14ac:dyDescent="0.25">
      <c r="A3195" s="1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</row>
    <row r="3196" spans="1:19" x14ac:dyDescent="0.25">
      <c r="A3196" s="1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</row>
    <row r="3197" spans="1:19" x14ac:dyDescent="0.25">
      <c r="A3197" s="1"/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</row>
    <row r="3198" spans="1:19" x14ac:dyDescent="0.25">
      <c r="A3198" s="1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</row>
    <row r="3199" spans="1:19" x14ac:dyDescent="0.25">
      <c r="A3199" s="1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</row>
    <row r="3200" spans="1:19" x14ac:dyDescent="0.25">
      <c r="A3200" s="1"/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</row>
    <row r="3201" spans="1:19" x14ac:dyDescent="0.25">
      <c r="A3201" s="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</row>
    <row r="3202" spans="1:19" x14ac:dyDescent="0.25">
      <c r="A3202" s="1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</row>
    <row r="3203" spans="1:19" x14ac:dyDescent="0.25">
      <c r="A3203" s="1"/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</row>
    <row r="3204" spans="1:19" x14ac:dyDescent="0.25">
      <c r="A3204" s="1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</row>
    <row r="3205" spans="1:19" x14ac:dyDescent="0.25">
      <c r="A3205" s="1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</row>
    <row r="3206" spans="1:19" x14ac:dyDescent="0.25">
      <c r="A3206" s="1"/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</row>
    <row r="3207" spans="1:19" x14ac:dyDescent="0.25">
      <c r="A3207" s="1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</row>
    <row r="3208" spans="1:19" x14ac:dyDescent="0.25">
      <c r="A3208" s="1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</row>
    <row r="3209" spans="1:19" x14ac:dyDescent="0.25">
      <c r="A3209" s="1"/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</row>
    <row r="3210" spans="1:19" x14ac:dyDescent="0.25">
      <c r="A3210" s="1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</row>
    <row r="3211" spans="1:19" x14ac:dyDescent="0.25">
      <c r="A3211" s="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</row>
    <row r="3212" spans="1:19" x14ac:dyDescent="0.25">
      <c r="A3212" s="1"/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</row>
    <row r="3213" spans="1:19" x14ac:dyDescent="0.25">
      <c r="A3213" s="1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</row>
    <row r="3214" spans="1:19" x14ac:dyDescent="0.25">
      <c r="A3214" s="1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</row>
    <row r="3215" spans="1:19" x14ac:dyDescent="0.25">
      <c r="A3215" s="1"/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</row>
    <row r="3216" spans="1:19" x14ac:dyDescent="0.25">
      <c r="A3216" s="1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</row>
    <row r="3217" spans="1:19" x14ac:dyDescent="0.25">
      <c r="A3217" s="1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</row>
    <row r="3218" spans="1:19" x14ac:dyDescent="0.25">
      <c r="A3218" s="1"/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</row>
    <row r="3219" spans="1:19" x14ac:dyDescent="0.25">
      <c r="A3219" s="1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</row>
    <row r="3220" spans="1:19" x14ac:dyDescent="0.25">
      <c r="A3220" s="1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</row>
    <row r="3221" spans="1:19" x14ac:dyDescent="0.25">
      <c r="A3221" s="1"/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</row>
    <row r="3222" spans="1:19" x14ac:dyDescent="0.25">
      <c r="A3222" s="1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</row>
    <row r="3223" spans="1:19" x14ac:dyDescent="0.25">
      <c r="A3223" s="1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</row>
    <row r="3224" spans="1:19" x14ac:dyDescent="0.25">
      <c r="A3224" s="1"/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</row>
    <row r="3225" spans="1:19" x14ac:dyDescent="0.25">
      <c r="A3225" s="1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</row>
    <row r="3226" spans="1:19" x14ac:dyDescent="0.25">
      <c r="A3226" s="1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</row>
    <row r="3227" spans="1:19" x14ac:dyDescent="0.25">
      <c r="A3227" s="1"/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</row>
    <row r="3228" spans="1:19" x14ac:dyDescent="0.25">
      <c r="A3228" s="1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</row>
    <row r="3229" spans="1:19" x14ac:dyDescent="0.25">
      <c r="A3229" s="1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</row>
    <row r="3230" spans="1:19" x14ac:dyDescent="0.25">
      <c r="A3230" s="1"/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</row>
    <row r="3231" spans="1:19" x14ac:dyDescent="0.25">
      <c r="A3231" s="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</row>
    <row r="3232" spans="1:19" x14ac:dyDescent="0.25">
      <c r="A3232" s="1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</row>
    <row r="3233" spans="1:19" x14ac:dyDescent="0.25">
      <c r="A3233" s="1"/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</row>
    <row r="3234" spans="1:19" x14ac:dyDescent="0.25">
      <c r="A3234" s="1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</row>
    <row r="3235" spans="1:19" x14ac:dyDescent="0.25">
      <c r="A3235" s="1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</row>
    <row r="3236" spans="1:19" x14ac:dyDescent="0.25">
      <c r="A3236" s="1"/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</row>
    <row r="3237" spans="1:19" x14ac:dyDescent="0.25">
      <c r="A3237" s="1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</row>
    <row r="3238" spans="1:19" x14ac:dyDescent="0.25">
      <c r="A3238" s="1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</row>
    <row r="3239" spans="1:19" x14ac:dyDescent="0.25">
      <c r="A3239" s="1"/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</row>
    <row r="3240" spans="1:19" x14ac:dyDescent="0.25">
      <c r="A3240" s="1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</row>
    <row r="3241" spans="1:19" x14ac:dyDescent="0.25">
      <c r="A3241" s="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</row>
    <row r="3242" spans="1:19" x14ac:dyDescent="0.25">
      <c r="A3242" s="1"/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</row>
    <row r="3243" spans="1:19" x14ac:dyDescent="0.25">
      <c r="A3243" s="1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</row>
    <row r="3244" spans="1:19" x14ac:dyDescent="0.25">
      <c r="A3244" s="1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</row>
    <row r="3245" spans="1:19" x14ac:dyDescent="0.25">
      <c r="A3245" s="1"/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</row>
    <row r="3246" spans="1:19" x14ac:dyDescent="0.25">
      <c r="A3246" s="1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</row>
    <row r="3247" spans="1:19" x14ac:dyDescent="0.25">
      <c r="A3247" s="1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</row>
    <row r="3248" spans="1:19" x14ac:dyDescent="0.25">
      <c r="A3248" s="1"/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</row>
    <row r="3249" spans="1:19" x14ac:dyDescent="0.25">
      <c r="A3249" s="1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</row>
    <row r="3250" spans="1:19" x14ac:dyDescent="0.25">
      <c r="A3250" s="1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</row>
    <row r="3251" spans="1:19" x14ac:dyDescent="0.25">
      <c r="A3251" s="1"/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</row>
    <row r="3252" spans="1:19" x14ac:dyDescent="0.25">
      <c r="A3252" s="1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</row>
    <row r="3253" spans="1:19" x14ac:dyDescent="0.25">
      <c r="A3253" s="1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</row>
    <row r="3254" spans="1:19" x14ac:dyDescent="0.25">
      <c r="A3254" s="1"/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</row>
    <row r="3255" spans="1:19" x14ac:dyDescent="0.25">
      <c r="A3255" s="1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</row>
    <row r="3256" spans="1:19" x14ac:dyDescent="0.25">
      <c r="A3256" s="1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</row>
    <row r="3257" spans="1:19" x14ac:dyDescent="0.25">
      <c r="A3257" s="1"/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</row>
    <row r="3258" spans="1:19" x14ac:dyDescent="0.25">
      <c r="A3258" s="1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</row>
    <row r="3259" spans="1:19" x14ac:dyDescent="0.25">
      <c r="A3259" s="1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</row>
    <row r="3260" spans="1:19" x14ac:dyDescent="0.25">
      <c r="A3260" s="1"/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</row>
    <row r="3261" spans="1:19" x14ac:dyDescent="0.25">
      <c r="A3261" s="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</row>
    <row r="3262" spans="1:19" x14ac:dyDescent="0.25">
      <c r="A3262" s="1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</row>
    <row r="3263" spans="1:19" x14ac:dyDescent="0.25">
      <c r="A3263" s="1"/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</row>
    <row r="3264" spans="1:19" x14ac:dyDescent="0.25">
      <c r="A3264" s="1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</row>
    <row r="3265" spans="1:19" x14ac:dyDescent="0.25">
      <c r="A3265" s="1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</row>
    <row r="3266" spans="1:19" x14ac:dyDescent="0.25">
      <c r="A3266" s="1"/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</row>
    <row r="3267" spans="1:19" x14ac:dyDescent="0.25">
      <c r="A3267" s="1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</row>
    <row r="3268" spans="1:19" x14ac:dyDescent="0.25">
      <c r="A3268" s="1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</row>
    <row r="3269" spans="1:19" x14ac:dyDescent="0.25">
      <c r="A3269" s="1"/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</row>
    <row r="3270" spans="1:19" x14ac:dyDescent="0.25">
      <c r="A3270" s="1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</row>
    <row r="3271" spans="1:19" x14ac:dyDescent="0.25">
      <c r="A3271" s="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</row>
    <row r="3272" spans="1:19" x14ac:dyDescent="0.25">
      <c r="A3272" s="1"/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</row>
    <row r="3273" spans="1:19" x14ac:dyDescent="0.25">
      <c r="A3273" s="1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</row>
    <row r="3274" spans="1:19" x14ac:dyDescent="0.25">
      <c r="A3274" s="1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</row>
    <row r="3275" spans="1:19" x14ac:dyDescent="0.25">
      <c r="A3275" s="1"/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</row>
    <row r="3276" spans="1:19" x14ac:dyDescent="0.25">
      <c r="A3276" s="1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</row>
    <row r="3277" spans="1:19" x14ac:dyDescent="0.25">
      <c r="A3277" s="1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</row>
    <row r="3278" spans="1:19" x14ac:dyDescent="0.25">
      <c r="A3278" s="1"/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</row>
    <row r="3279" spans="1:19" x14ac:dyDescent="0.25">
      <c r="A3279" s="1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</row>
    <row r="3280" spans="1:19" x14ac:dyDescent="0.25">
      <c r="A3280" s="1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</row>
    <row r="3281" spans="1:19" x14ac:dyDescent="0.25">
      <c r="A3281" s="1"/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</row>
    <row r="3282" spans="1:19" x14ac:dyDescent="0.25">
      <c r="A3282" s="1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</row>
    <row r="3283" spans="1:19" x14ac:dyDescent="0.25">
      <c r="A3283" s="1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</row>
    <row r="3284" spans="1:19" x14ac:dyDescent="0.25">
      <c r="A3284" s="1"/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</row>
    <row r="3285" spans="1:19" x14ac:dyDescent="0.25">
      <c r="A3285" s="1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</row>
    <row r="3286" spans="1:19" x14ac:dyDescent="0.25">
      <c r="A3286" s="1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</row>
    <row r="3287" spans="1:19" x14ac:dyDescent="0.25">
      <c r="A3287" s="1"/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</row>
    <row r="3288" spans="1:19" x14ac:dyDescent="0.25">
      <c r="A3288" s="1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</row>
    <row r="3289" spans="1:19" x14ac:dyDescent="0.25">
      <c r="A3289" s="1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</row>
    <row r="3290" spans="1:19" x14ac:dyDescent="0.25">
      <c r="A3290" s="1"/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</row>
    <row r="3291" spans="1:19" x14ac:dyDescent="0.25">
      <c r="A3291" s="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</row>
    <row r="3292" spans="1:19" x14ac:dyDescent="0.25">
      <c r="A3292" s="1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</row>
    <row r="3293" spans="1:19" x14ac:dyDescent="0.25">
      <c r="A3293" s="1"/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</row>
    <row r="3294" spans="1:19" x14ac:dyDescent="0.25">
      <c r="A3294" s="1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</row>
    <row r="3295" spans="1:19" x14ac:dyDescent="0.25">
      <c r="A3295" s="1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</row>
    <row r="3296" spans="1:19" x14ac:dyDescent="0.25">
      <c r="A3296" s="1"/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</row>
    <row r="3297" spans="1:19" x14ac:dyDescent="0.25">
      <c r="A3297" s="1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</row>
    <row r="3298" spans="1:19" x14ac:dyDescent="0.25">
      <c r="A3298" s="1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</row>
    <row r="3299" spans="1:19" x14ac:dyDescent="0.25">
      <c r="A3299" s="1"/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</row>
    <row r="3300" spans="1:19" x14ac:dyDescent="0.25">
      <c r="A3300" s="1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</row>
    <row r="3301" spans="1:19" x14ac:dyDescent="0.25">
      <c r="A3301" s="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</row>
    <row r="3302" spans="1:19" x14ac:dyDescent="0.25">
      <c r="A3302" s="1"/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</row>
    <row r="3303" spans="1:19" x14ac:dyDescent="0.25">
      <c r="A3303" s="1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</row>
    <row r="3304" spans="1:19" x14ac:dyDescent="0.25">
      <c r="A3304" s="1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</row>
    <row r="3305" spans="1:19" x14ac:dyDescent="0.25">
      <c r="A3305" s="1"/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</row>
    <row r="3306" spans="1:19" x14ac:dyDescent="0.25">
      <c r="A3306" s="1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</row>
    <row r="3307" spans="1:19" x14ac:dyDescent="0.25">
      <c r="A3307" s="1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</row>
    <row r="3308" spans="1:19" x14ac:dyDescent="0.25">
      <c r="A3308" s="1"/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</row>
    <row r="3309" spans="1:19" x14ac:dyDescent="0.25">
      <c r="A3309" s="1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</row>
    <row r="3310" spans="1:19" x14ac:dyDescent="0.25">
      <c r="A3310" s="1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</row>
    <row r="3311" spans="1:19" x14ac:dyDescent="0.25">
      <c r="A3311" s="1"/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</row>
    <row r="3312" spans="1:19" x14ac:dyDescent="0.25">
      <c r="A3312" s="1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</row>
    <row r="3313" spans="1:19" x14ac:dyDescent="0.25">
      <c r="A3313" s="1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</row>
    <row r="3314" spans="1:19" x14ac:dyDescent="0.25">
      <c r="A3314" s="1"/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</row>
    <row r="3315" spans="1:19" x14ac:dyDescent="0.25">
      <c r="A3315" s="1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</row>
    <row r="3316" spans="1:19" x14ac:dyDescent="0.25">
      <c r="A3316" s="1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</row>
    <row r="3317" spans="1:19" x14ac:dyDescent="0.25">
      <c r="A3317" s="1"/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</row>
    <row r="3318" spans="1:19" x14ac:dyDescent="0.25">
      <c r="A3318" s="1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</row>
    <row r="3319" spans="1:19" x14ac:dyDescent="0.25">
      <c r="A3319" s="1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</row>
    <row r="3320" spans="1:19" x14ac:dyDescent="0.25">
      <c r="A3320" s="1"/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</row>
    <row r="3321" spans="1:19" x14ac:dyDescent="0.25">
      <c r="A3321" s="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</row>
    <row r="3322" spans="1:19" x14ac:dyDescent="0.25">
      <c r="A3322" s="1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</row>
    <row r="3323" spans="1:19" x14ac:dyDescent="0.25">
      <c r="A3323" s="1"/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</row>
    <row r="3324" spans="1:19" x14ac:dyDescent="0.25">
      <c r="A3324" s="1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</row>
    <row r="3325" spans="1:19" x14ac:dyDescent="0.25">
      <c r="A3325" s="1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</row>
    <row r="3326" spans="1:19" x14ac:dyDescent="0.25">
      <c r="A3326" s="1"/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</row>
    <row r="3327" spans="1:19" x14ac:dyDescent="0.25">
      <c r="A3327" s="1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</row>
    <row r="3328" spans="1:19" x14ac:dyDescent="0.25">
      <c r="A3328" s="1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</row>
    <row r="3329" spans="1:19" x14ac:dyDescent="0.25">
      <c r="A3329" s="1"/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</row>
    <row r="3330" spans="1:19" x14ac:dyDescent="0.25">
      <c r="A3330" s="1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</row>
    <row r="3331" spans="1:19" x14ac:dyDescent="0.25">
      <c r="A3331" s="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</row>
    <row r="3332" spans="1:19" x14ac:dyDescent="0.25">
      <c r="A3332" s="1"/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</row>
    <row r="3333" spans="1:19" x14ac:dyDescent="0.25">
      <c r="A3333" s="1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</row>
    <row r="3334" spans="1:19" x14ac:dyDescent="0.25">
      <c r="A3334" s="1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</row>
    <row r="3335" spans="1:19" x14ac:dyDescent="0.25">
      <c r="A3335" s="1"/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</row>
    <row r="3336" spans="1:19" x14ac:dyDescent="0.25">
      <c r="A3336" s="1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</row>
    <row r="3337" spans="1:19" x14ac:dyDescent="0.25">
      <c r="A3337" s="1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</row>
    <row r="3338" spans="1:19" x14ac:dyDescent="0.25">
      <c r="A3338" s="1"/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</row>
    <row r="3339" spans="1:19" x14ac:dyDescent="0.25">
      <c r="A3339" s="1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</row>
    <row r="3340" spans="1:19" x14ac:dyDescent="0.25">
      <c r="A3340" s="1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</row>
    <row r="3341" spans="1:19" x14ac:dyDescent="0.25">
      <c r="A3341" s="1"/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</row>
    <row r="3342" spans="1:19" x14ac:dyDescent="0.25">
      <c r="A3342" s="1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</row>
    <row r="3343" spans="1:19" x14ac:dyDescent="0.25">
      <c r="A3343" s="1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</row>
    <row r="3344" spans="1:19" x14ac:dyDescent="0.25">
      <c r="A3344" s="1"/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</row>
    <row r="3345" spans="1:19" x14ac:dyDescent="0.25">
      <c r="A3345" s="1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</row>
    <row r="3346" spans="1:19" x14ac:dyDescent="0.25">
      <c r="A3346" s="1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</row>
    <row r="3347" spans="1:19" x14ac:dyDescent="0.25">
      <c r="A3347" s="1"/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</row>
    <row r="3348" spans="1:19" x14ac:dyDescent="0.25">
      <c r="A3348" s="1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</row>
    <row r="3349" spans="1:19" x14ac:dyDescent="0.25">
      <c r="A3349" s="1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</row>
    <row r="3350" spans="1:19" x14ac:dyDescent="0.25">
      <c r="A3350" s="1"/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</row>
    <row r="3351" spans="1:19" x14ac:dyDescent="0.25">
      <c r="A3351" s="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</row>
    <row r="3352" spans="1:19" x14ac:dyDescent="0.25">
      <c r="A3352" s="1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</row>
    <row r="3353" spans="1:19" x14ac:dyDescent="0.25">
      <c r="A3353" s="1"/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</row>
    <row r="3354" spans="1:19" x14ac:dyDescent="0.25">
      <c r="A3354" s="1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</row>
    <row r="3355" spans="1:19" x14ac:dyDescent="0.25">
      <c r="A3355" s="1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</row>
    <row r="3356" spans="1:19" x14ac:dyDescent="0.25">
      <c r="A3356" s="1"/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</row>
    <row r="3357" spans="1:19" x14ac:dyDescent="0.25">
      <c r="A3357" s="1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</row>
    <row r="3358" spans="1:19" x14ac:dyDescent="0.25">
      <c r="A3358" s="1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</row>
    <row r="3359" spans="1:19" x14ac:dyDescent="0.25">
      <c r="A3359" s="1"/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</row>
    <row r="3360" spans="1:19" x14ac:dyDescent="0.25">
      <c r="A3360" s="1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</row>
    <row r="3361" spans="1:19" x14ac:dyDescent="0.25">
      <c r="A3361" s="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</row>
    <row r="3362" spans="1:19" x14ac:dyDescent="0.25">
      <c r="A3362" s="1"/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</row>
    <row r="3363" spans="1:19" x14ac:dyDescent="0.25">
      <c r="A3363" s="1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</row>
    <row r="3364" spans="1:19" x14ac:dyDescent="0.25">
      <c r="A3364" s="1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</row>
    <row r="3365" spans="1:19" x14ac:dyDescent="0.25">
      <c r="A3365" s="1"/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</row>
    <row r="3366" spans="1:19" x14ac:dyDescent="0.25">
      <c r="A3366" s="1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</row>
    <row r="3367" spans="1:19" x14ac:dyDescent="0.25">
      <c r="A3367" s="1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</row>
    <row r="3368" spans="1:19" x14ac:dyDescent="0.25">
      <c r="A3368" s="1"/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</row>
    <row r="3369" spans="1:19" x14ac:dyDescent="0.25">
      <c r="A3369" s="1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</row>
    <row r="3370" spans="1:19" x14ac:dyDescent="0.25">
      <c r="A3370" s="1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</row>
    <row r="3371" spans="1:19" x14ac:dyDescent="0.25">
      <c r="A3371" s="1"/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</row>
    <row r="3372" spans="1:19" x14ac:dyDescent="0.25">
      <c r="A3372" s="1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</row>
    <row r="3373" spans="1:19" x14ac:dyDescent="0.25">
      <c r="A3373" s="1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</row>
    <row r="3374" spans="1:19" x14ac:dyDescent="0.25">
      <c r="A3374" s="1"/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</row>
    <row r="3375" spans="1:19" x14ac:dyDescent="0.25">
      <c r="A3375" s="1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</row>
    <row r="3376" spans="1:19" x14ac:dyDescent="0.25">
      <c r="A3376" s="1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</row>
    <row r="3377" spans="1:19" x14ac:dyDescent="0.25">
      <c r="A3377" s="1"/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</row>
    <row r="3378" spans="1:19" x14ac:dyDescent="0.25">
      <c r="A3378" s="1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</row>
    <row r="3379" spans="1:19" x14ac:dyDescent="0.25">
      <c r="A3379" s="1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</row>
    <row r="3380" spans="1:19" x14ac:dyDescent="0.25">
      <c r="A3380" s="1"/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</row>
    <row r="3381" spans="1:19" x14ac:dyDescent="0.25">
      <c r="A3381" s="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</row>
    <row r="3382" spans="1:19" x14ac:dyDescent="0.25">
      <c r="A3382" s="1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</row>
    <row r="3383" spans="1:19" x14ac:dyDescent="0.25">
      <c r="A3383" s="1"/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</row>
    <row r="3384" spans="1:19" x14ac:dyDescent="0.25">
      <c r="A3384" s="1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</row>
    <row r="3385" spans="1:19" x14ac:dyDescent="0.25">
      <c r="A3385" s="1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</row>
    <row r="3386" spans="1:19" x14ac:dyDescent="0.25">
      <c r="A3386" s="1"/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</row>
    <row r="3387" spans="1:19" x14ac:dyDescent="0.25">
      <c r="A3387" s="1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</row>
    <row r="3388" spans="1:19" x14ac:dyDescent="0.25">
      <c r="A3388" s="1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</row>
    <row r="3389" spans="1:19" x14ac:dyDescent="0.25">
      <c r="A3389" s="1"/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</row>
    <row r="3390" spans="1:19" x14ac:dyDescent="0.25">
      <c r="A3390" s="1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</row>
    <row r="3391" spans="1:19" x14ac:dyDescent="0.25">
      <c r="A3391" s="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</row>
    <row r="3392" spans="1:19" x14ac:dyDescent="0.25">
      <c r="A3392" s="1"/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</row>
    <row r="3393" spans="1:19" x14ac:dyDescent="0.25">
      <c r="A3393" s="1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</row>
    <row r="3394" spans="1:19" x14ac:dyDescent="0.25">
      <c r="A3394" s="1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</row>
    <row r="3395" spans="1:19" x14ac:dyDescent="0.25">
      <c r="A3395" s="1"/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</row>
    <row r="3396" spans="1:19" x14ac:dyDescent="0.25">
      <c r="A3396" s="1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</row>
    <row r="3397" spans="1:19" x14ac:dyDescent="0.25">
      <c r="A3397" s="1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</row>
    <row r="3398" spans="1:19" x14ac:dyDescent="0.25">
      <c r="A3398" s="1"/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</row>
    <row r="3399" spans="1:19" x14ac:dyDescent="0.25">
      <c r="A3399" s="1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</row>
    <row r="3400" spans="1:19" x14ac:dyDescent="0.25">
      <c r="A3400" s="1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</row>
    <row r="3401" spans="1:19" x14ac:dyDescent="0.25">
      <c r="A3401" s="1"/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</row>
    <row r="3402" spans="1:19" x14ac:dyDescent="0.25">
      <c r="A3402" s="1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</row>
    <row r="3403" spans="1:19" x14ac:dyDescent="0.25">
      <c r="A3403" s="1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</row>
    <row r="3404" spans="1:19" x14ac:dyDescent="0.25">
      <c r="A3404" s="1"/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</row>
    <row r="3405" spans="1:19" x14ac:dyDescent="0.25">
      <c r="A3405" s="1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</row>
    <row r="3406" spans="1:19" x14ac:dyDescent="0.25">
      <c r="A3406" s="1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</row>
    <row r="3407" spans="1:19" x14ac:dyDescent="0.25">
      <c r="A3407" s="1"/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</row>
    <row r="3408" spans="1:19" x14ac:dyDescent="0.25">
      <c r="A3408" s="1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</row>
    <row r="3409" spans="1:19" x14ac:dyDescent="0.25">
      <c r="A3409" s="1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</row>
    <row r="3410" spans="1:19" x14ac:dyDescent="0.25">
      <c r="A3410" s="1"/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</row>
    <row r="3411" spans="1:19" x14ac:dyDescent="0.25">
      <c r="A3411" s="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</row>
    <row r="3412" spans="1:19" x14ac:dyDescent="0.25">
      <c r="A3412" s="1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</row>
    <row r="3413" spans="1:19" x14ac:dyDescent="0.25">
      <c r="A3413" s="1"/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</row>
    <row r="3414" spans="1:19" x14ac:dyDescent="0.25">
      <c r="A3414" s="1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</row>
    <row r="3415" spans="1:19" x14ac:dyDescent="0.25">
      <c r="A3415" s="1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</row>
    <row r="3416" spans="1:19" x14ac:dyDescent="0.25">
      <c r="A3416" s="1"/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</row>
    <row r="3417" spans="1:19" x14ac:dyDescent="0.25">
      <c r="A3417" s="1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</row>
    <row r="3418" spans="1:19" x14ac:dyDescent="0.25">
      <c r="A3418" s="1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</row>
    <row r="3419" spans="1:19" x14ac:dyDescent="0.25">
      <c r="A3419" s="1"/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</row>
    <row r="3420" spans="1:19" x14ac:dyDescent="0.25">
      <c r="A3420" s="1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</row>
    <row r="3421" spans="1:19" x14ac:dyDescent="0.25">
      <c r="A3421" s="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</row>
    <row r="3422" spans="1:19" x14ac:dyDescent="0.25">
      <c r="A3422" s="1"/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</row>
    <row r="3423" spans="1:19" x14ac:dyDescent="0.25">
      <c r="A3423" s="1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</row>
    <row r="3424" spans="1:19" x14ac:dyDescent="0.25">
      <c r="A3424" s="1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</row>
    <row r="3425" spans="1:19" x14ac:dyDescent="0.25">
      <c r="A3425" s="1"/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</row>
    <row r="3426" spans="1:19" x14ac:dyDescent="0.25">
      <c r="A3426" s="1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</row>
    <row r="3427" spans="1:19" x14ac:dyDescent="0.25">
      <c r="A3427" s="1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</row>
    <row r="3428" spans="1:19" x14ac:dyDescent="0.25">
      <c r="A3428" s="1"/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</row>
    <row r="3429" spans="1:19" x14ac:dyDescent="0.25">
      <c r="A3429" s="1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</row>
    <row r="3430" spans="1:19" x14ac:dyDescent="0.25">
      <c r="A3430" s="1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</row>
    <row r="3431" spans="1:19" x14ac:dyDescent="0.25">
      <c r="A3431" s="1"/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</row>
    <row r="3432" spans="1:19" x14ac:dyDescent="0.25">
      <c r="A3432" s="1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</row>
    <row r="3433" spans="1:19" x14ac:dyDescent="0.25">
      <c r="A3433" s="1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</row>
    <row r="3434" spans="1:19" x14ac:dyDescent="0.25">
      <c r="A3434" s="1"/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</row>
    <row r="3435" spans="1:19" x14ac:dyDescent="0.25">
      <c r="A3435" s="1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</row>
    <row r="3436" spans="1:19" x14ac:dyDescent="0.25">
      <c r="A3436" s="1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</row>
    <row r="3437" spans="1:19" x14ac:dyDescent="0.25">
      <c r="A3437" s="1"/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</row>
    <row r="3438" spans="1:19" x14ac:dyDescent="0.25">
      <c r="A3438" s="1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</row>
    <row r="3439" spans="1:19" x14ac:dyDescent="0.25">
      <c r="A3439" s="1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</row>
    <row r="3440" spans="1:19" x14ac:dyDescent="0.25">
      <c r="A3440" s="1"/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</row>
    <row r="3441" spans="1:19" x14ac:dyDescent="0.25">
      <c r="A3441" s="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</row>
    <row r="3442" spans="1:19" x14ac:dyDescent="0.25">
      <c r="A3442" s="1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</row>
    <row r="3443" spans="1:19" x14ac:dyDescent="0.25">
      <c r="A3443" s="1"/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</row>
    <row r="3444" spans="1:19" x14ac:dyDescent="0.25">
      <c r="A3444" s="1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</row>
    <row r="3445" spans="1:19" x14ac:dyDescent="0.25">
      <c r="A3445" s="1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</row>
    <row r="3446" spans="1:19" x14ac:dyDescent="0.25">
      <c r="A3446" s="1"/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</row>
    <row r="3447" spans="1:19" x14ac:dyDescent="0.25">
      <c r="A3447" s="1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</row>
    <row r="3448" spans="1:19" x14ac:dyDescent="0.25">
      <c r="A3448" s="1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</row>
    <row r="3449" spans="1:19" x14ac:dyDescent="0.25">
      <c r="A3449" s="1"/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</row>
    <row r="3450" spans="1:19" x14ac:dyDescent="0.25">
      <c r="A3450" s="1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</row>
    <row r="3451" spans="1:19" x14ac:dyDescent="0.25">
      <c r="A3451" s="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</row>
    <row r="3452" spans="1:19" x14ac:dyDescent="0.25">
      <c r="A3452" s="1"/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</row>
    <row r="3453" spans="1:19" x14ac:dyDescent="0.25">
      <c r="A3453" s="1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</row>
    <row r="3454" spans="1:19" x14ac:dyDescent="0.25">
      <c r="A3454" s="1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</row>
    <row r="3455" spans="1:19" x14ac:dyDescent="0.25">
      <c r="A3455" s="1"/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</row>
    <row r="3456" spans="1:19" x14ac:dyDescent="0.25">
      <c r="A3456" s="1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</row>
    <row r="3457" spans="1:19" x14ac:dyDescent="0.25">
      <c r="A3457" s="1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</row>
    <row r="3458" spans="1:19" x14ac:dyDescent="0.25">
      <c r="A3458" s="1"/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</row>
    <row r="3459" spans="1:19" x14ac:dyDescent="0.25">
      <c r="A3459" s="1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</row>
    <row r="3460" spans="1:19" x14ac:dyDescent="0.25">
      <c r="A3460" s="1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</row>
    <row r="3461" spans="1:19" x14ac:dyDescent="0.25">
      <c r="A3461" s="1"/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</row>
    <row r="3462" spans="1:19" x14ac:dyDescent="0.25">
      <c r="A3462" s="1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</row>
    <row r="3463" spans="1:19" x14ac:dyDescent="0.25">
      <c r="A3463" s="1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</row>
    <row r="3464" spans="1:19" x14ac:dyDescent="0.25">
      <c r="A3464" s="1"/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</row>
    <row r="3465" spans="1:19" x14ac:dyDescent="0.25">
      <c r="A3465" s="1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</row>
    <row r="3466" spans="1:19" x14ac:dyDescent="0.25">
      <c r="A3466" s="1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</row>
    <row r="3467" spans="1:19" x14ac:dyDescent="0.25">
      <c r="A3467" s="1"/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</row>
    <row r="3468" spans="1:19" x14ac:dyDescent="0.25">
      <c r="A3468" s="1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</row>
    <row r="3469" spans="1:19" x14ac:dyDescent="0.25">
      <c r="A3469" s="1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</row>
    <row r="3470" spans="1:19" x14ac:dyDescent="0.25">
      <c r="A3470" s="1"/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</row>
    <row r="3471" spans="1:19" x14ac:dyDescent="0.25">
      <c r="A3471" s="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</row>
    <row r="3472" spans="1:19" x14ac:dyDescent="0.25">
      <c r="A3472" s="1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</row>
    <row r="3473" spans="1:19" x14ac:dyDescent="0.25">
      <c r="A3473" s="1"/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</row>
    <row r="3474" spans="1:19" x14ac:dyDescent="0.25">
      <c r="A3474" s="1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</row>
    <row r="3475" spans="1:19" x14ac:dyDescent="0.25">
      <c r="A3475" s="1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</row>
    <row r="3476" spans="1:19" x14ac:dyDescent="0.25">
      <c r="A3476" s="1"/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</row>
    <row r="3477" spans="1:19" x14ac:dyDescent="0.25">
      <c r="A3477" s="1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</row>
    <row r="3478" spans="1:19" x14ac:dyDescent="0.25">
      <c r="A3478" s="1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</row>
    <row r="3479" spans="1:19" x14ac:dyDescent="0.25">
      <c r="A3479" s="1"/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</row>
    <row r="3480" spans="1:19" x14ac:dyDescent="0.25">
      <c r="A3480" s="1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</row>
    <row r="3481" spans="1:19" x14ac:dyDescent="0.25">
      <c r="A3481" s="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</row>
    <row r="3482" spans="1:19" x14ac:dyDescent="0.25">
      <c r="A3482" s="1"/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</row>
    <row r="3483" spans="1:19" x14ac:dyDescent="0.25">
      <c r="A3483" s="1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</row>
    <row r="3484" spans="1:19" x14ac:dyDescent="0.25">
      <c r="A3484" s="1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</row>
    <row r="3485" spans="1:19" x14ac:dyDescent="0.25">
      <c r="A3485" s="1"/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</row>
    <row r="3486" spans="1:19" x14ac:dyDescent="0.25">
      <c r="A3486" s="1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</row>
    <row r="3487" spans="1:19" x14ac:dyDescent="0.25">
      <c r="A3487" s="1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</row>
    <row r="3488" spans="1:19" x14ac:dyDescent="0.25">
      <c r="A3488" s="1"/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</row>
    <row r="3489" spans="1:19" x14ac:dyDescent="0.25">
      <c r="A3489" s="1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</row>
    <row r="3490" spans="1:19" x14ac:dyDescent="0.25">
      <c r="A3490" s="1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</row>
    <row r="3491" spans="1:19" x14ac:dyDescent="0.25">
      <c r="A3491" s="1"/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</row>
    <row r="3492" spans="1:19" x14ac:dyDescent="0.25">
      <c r="A3492" s="1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</row>
    <row r="3493" spans="1:19" x14ac:dyDescent="0.25">
      <c r="A3493" s="1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</row>
    <row r="3494" spans="1:19" x14ac:dyDescent="0.25">
      <c r="A3494" s="1"/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</row>
    <row r="3495" spans="1:19" x14ac:dyDescent="0.25">
      <c r="A3495" s="1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</row>
    <row r="3496" spans="1:19" x14ac:dyDescent="0.25">
      <c r="A3496" s="1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</row>
    <row r="3497" spans="1:19" x14ac:dyDescent="0.25">
      <c r="A3497" s="1"/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</row>
    <row r="3498" spans="1:19" x14ac:dyDescent="0.25">
      <c r="A3498" s="1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</row>
    <row r="3499" spans="1:19" x14ac:dyDescent="0.25">
      <c r="A3499" s="1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</row>
    <row r="3500" spans="1:19" x14ac:dyDescent="0.25">
      <c r="A3500" s="1"/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</row>
    <row r="3501" spans="1:19" x14ac:dyDescent="0.25">
      <c r="A3501" s="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</row>
    <row r="3502" spans="1:19" x14ac:dyDescent="0.25">
      <c r="A3502" s="1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</row>
    <row r="3503" spans="1:19" x14ac:dyDescent="0.25">
      <c r="A3503" s="1"/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</row>
    <row r="3504" spans="1:19" x14ac:dyDescent="0.25">
      <c r="A3504" s="1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</row>
    <row r="3505" spans="1:19" x14ac:dyDescent="0.25">
      <c r="A3505" s="1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</row>
    <row r="3506" spans="1:19" x14ac:dyDescent="0.25">
      <c r="A3506" s="1"/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</row>
    <row r="3507" spans="1:19" x14ac:dyDescent="0.25">
      <c r="A3507" s="1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</row>
    <row r="3508" spans="1:19" x14ac:dyDescent="0.25">
      <c r="A3508" s="1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</row>
    <row r="3509" spans="1:19" x14ac:dyDescent="0.25">
      <c r="A3509" s="1"/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</row>
    <row r="3510" spans="1:19" x14ac:dyDescent="0.25">
      <c r="A3510" s="1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</row>
    <row r="3511" spans="1:19" x14ac:dyDescent="0.25">
      <c r="A3511" s="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</row>
    <row r="3512" spans="1:19" x14ac:dyDescent="0.25">
      <c r="A3512" s="1"/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</row>
    <row r="3513" spans="1:19" x14ac:dyDescent="0.25">
      <c r="A3513" s="1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</row>
    <row r="3514" spans="1:19" x14ac:dyDescent="0.25">
      <c r="A3514" s="1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</row>
    <row r="3515" spans="1:19" x14ac:dyDescent="0.25">
      <c r="A3515" s="1"/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</row>
    <row r="3516" spans="1:19" x14ac:dyDescent="0.25">
      <c r="A3516" s="1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</row>
    <row r="3517" spans="1:19" x14ac:dyDescent="0.25">
      <c r="A3517" s="1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</row>
    <row r="3518" spans="1:19" x14ac:dyDescent="0.25">
      <c r="A3518" s="1"/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</row>
    <row r="3519" spans="1:19" x14ac:dyDescent="0.25">
      <c r="A3519" s="1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</row>
    <row r="3520" spans="1:19" x14ac:dyDescent="0.25">
      <c r="A3520" s="1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</row>
    <row r="3521" spans="1:19" x14ac:dyDescent="0.25">
      <c r="A3521" s="1"/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</row>
    <row r="3522" spans="1:19" x14ac:dyDescent="0.25">
      <c r="A3522" s="1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</row>
    <row r="3523" spans="1:19" x14ac:dyDescent="0.25">
      <c r="A3523" s="1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</row>
    <row r="3524" spans="1:19" x14ac:dyDescent="0.25">
      <c r="A3524" s="1"/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</row>
    <row r="3525" spans="1:19" x14ac:dyDescent="0.25">
      <c r="A3525" s="1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</row>
    <row r="3526" spans="1:19" x14ac:dyDescent="0.25">
      <c r="A3526" s="1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</row>
    <row r="3527" spans="1:19" x14ac:dyDescent="0.25">
      <c r="A3527" s="1"/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</row>
    <row r="3528" spans="1:19" x14ac:dyDescent="0.25">
      <c r="A3528" s="1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</row>
    <row r="3529" spans="1:19" x14ac:dyDescent="0.25">
      <c r="A3529" s="1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</row>
    <row r="3530" spans="1:19" x14ac:dyDescent="0.25">
      <c r="A3530" s="1"/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</row>
    <row r="3531" spans="1:19" x14ac:dyDescent="0.25">
      <c r="A3531" s="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</row>
    <row r="3532" spans="1:19" x14ac:dyDescent="0.25">
      <c r="A3532" s="1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</row>
    <row r="3533" spans="1:19" x14ac:dyDescent="0.25">
      <c r="A3533" s="1"/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</row>
    <row r="3534" spans="1:19" x14ac:dyDescent="0.25">
      <c r="A3534" s="1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</row>
    <row r="3535" spans="1:19" x14ac:dyDescent="0.25">
      <c r="A3535" s="1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</row>
    <row r="3536" spans="1:19" x14ac:dyDescent="0.25">
      <c r="A3536" s="1"/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</row>
    <row r="3537" spans="1:19" x14ac:dyDescent="0.25">
      <c r="A3537" s="1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</row>
    <row r="3538" spans="1:19" x14ac:dyDescent="0.25">
      <c r="A3538" s="1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</row>
    <row r="3539" spans="1:19" x14ac:dyDescent="0.25">
      <c r="A3539" s="1"/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</row>
    <row r="3540" spans="1:19" x14ac:dyDescent="0.25">
      <c r="A3540" s="1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</row>
    <row r="3541" spans="1:19" x14ac:dyDescent="0.25">
      <c r="A3541" s="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</row>
    <row r="3542" spans="1:19" x14ac:dyDescent="0.25">
      <c r="A3542" s="1"/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</row>
    <row r="3543" spans="1:19" x14ac:dyDescent="0.25">
      <c r="A3543" s="1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</row>
    <row r="3544" spans="1:19" x14ac:dyDescent="0.25">
      <c r="A3544" s="1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</row>
    <row r="3545" spans="1:19" x14ac:dyDescent="0.25">
      <c r="A3545" s="1"/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</row>
    <row r="3546" spans="1:19" x14ac:dyDescent="0.25">
      <c r="A3546" s="1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</row>
    <row r="3547" spans="1:19" x14ac:dyDescent="0.25">
      <c r="A3547" s="1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</row>
    <row r="3548" spans="1:19" x14ac:dyDescent="0.25">
      <c r="A3548" s="1"/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</row>
    <row r="3549" spans="1:19" x14ac:dyDescent="0.25">
      <c r="A3549" s="1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</row>
    <row r="3550" spans="1:19" x14ac:dyDescent="0.25">
      <c r="A3550" s="1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</row>
    <row r="3551" spans="1:19" x14ac:dyDescent="0.25">
      <c r="A3551" s="1"/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</row>
    <row r="3552" spans="1:19" x14ac:dyDescent="0.25">
      <c r="A3552" s="1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</row>
    <row r="3553" spans="1:19" x14ac:dyDescent="0.25">
      <c r="A3553" s="1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</row>
    <row r="3554" spans="1:19" x14ac:dyDescent="0.25">
      <c r="A3554" s="1"/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</row>
    <row r="3555" spans="1:19" x14ac:dyDescent="0.25">
      <c r="A3555" s="1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</row>
    <row r="3556" spans="1:19" x14ac:dyDescent="0.25">
      <c r="A3556" s="1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</row>
    <row r="3557" spans="1:19" x14ac:dyDescent="0.25">
      <c r="A3557" s="1"/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</row>
    <row r="3558" spans="1:19" x14ac:dyDescent="0.25">
      <c r="A3558" s="1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</row>
    <row r="3559" spans="1:19" x14ac:dyDescent="0.25">
      <c r="A3559" s="1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</row>
    <row r="3560" spans="1:19" x14ac:dyDescent="0.25">
      <c r="A3560" s="1"/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</row>
    <row r="3561" spans="1:19" x14ac:dyDescent="0.25">
      <c r="A3561" s="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</row>
    <row r="3562" spans="1:19" x14ac:dyDescent="0.25">
      <c r="A3562" s="1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</row>
    <row r="3563" spans="1:19" x14ac:dyDescent="0.25">
      <c r="A3563" s="1"/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</row>
    <row r="3564" spans="1:19" x14ac:dyDescent="0.25">
      <c r="A3564" s="1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</row>
    <row r="3565" spans="1:19" x14ac:dyDescent="0.25">
      <c r="A3565" s="1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</row>
    <row r="3566" spans="1:19" x14ac:dyDescent="0.25">
      <c r="A3566" s="1"/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</row>
    <row r="3567" spans="1:19" x14ac:dyDescent="0.25">
      <c r="A3567" s="1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</row>
    <row r="3568" spans="1:19" x14ac:dyDescent="0.25">
      <c r="A3568" s="1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</row>
    <row r="3569" spans="1:19" x14ac:dyDescent="0.25">
      <c r="A3569" s="1"/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</row>
    <row r="3570" spans="1:19" x14ac:dyDescent="0.25">
      <c r="A3570" s="1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</row>
    <row r="3571" spans="1:19" x14ac:dyDescent="0.25">
      <c r="A3571" s="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</row>
    <row r="3572" spans="1:19" x14ac:dyDescent="0.25">
      <c r="A3572" s="1"/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</row>
    <row r="3573" spans="1:19" x14ac:dyDescent="0.25">
      <c r="A3573" s="1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</row>
    <row r="3574" spans="1:19" x14ac:dyDescent="0.25">
      <c r="A3574" s="1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</row>
    <row r="3575" spans="1:19" x14ac:dyDescent="0.25">
      <c r="A3575" s="1"/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</row>
    <row r="3576" spans="1:19" x14ac:dyDescent="0.25">
      <c r="A3576" s="1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</row>
    <row r="3577" spans="1:19" x14ac:dyDescent="0.25">
      <c r="A3577" s="1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</row>
    <row r="3578" spans="1:19" x14ac:dyDescent="0.25">
      <c r="A3578" s="1"/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</row>
    <row r="3579" spans="1:19" x14ac:dyDescent="0.25">
      <c r="A3579" s="1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</row>
    <row r="3580" spans="1:19" x14ac:dyDescent="0.25">
      <c r="A3580" s="1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</row>
    <row r="3581" spans="1:19" x14ac:dyDescent="0.25">
      <c r="A3581" s="1"/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</row>
    <row r="3582" spans="1:19" x14ac:dyDescent="0.25">
      <c r="A3582" s="1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</row>
    <row r="3583" spans="1:19" x14ac:dyDescent="0.25">
      <c r="A3583" s="1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</row>
    <row r="3584" spans="1:19" x14ac:dyDescent="0.25">
      <c r="A3584" s="1"/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</row>
    <row r="3585" spans="1:19" x14ac:dyDescent="0.25">
      <c r="A3585" s="1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</row>
    <row r="3586" spans="1:19" x14ac:dyDescent="0.25">
      <c r="A3586" s="1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</row>
    <row r="3587" spans="1:19" x14ac:dyDescent="0.25">
      <c r="A3587" s="1"/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</row>
    <row r="3588" spans="1:19" x14ac:dyDescent="0.25">
      <c r="A3588" s="1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</row>
    <row r="3589" spans="1:19" x14ac:dyDescent="0.25">
      <c r="A3589" s="1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</row>
    <row r="3590" spans="1:19" x14ac:dyDescent="0.25">
      <c r="A3590" s="1"/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</row>
    <row r="3591" spans="1:19" x14ac:dyDescent="0.25">
      <c r="A3591" s="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</row>
    <row r="3592" spans="1:19" x14ac:dyDescent="0.25">
      <c r="A3592" s="1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</row>
    <row r="3593" spans="1:19" x14ac:dyDescent="0.25">
      <c r="A3593" s="1"/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</row>
    <row r="3594" spans="1:19" x14ac:dyDescent="0.25">
      <c r="A3594" s="1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</row>
    <row r="3595" spans="1:19" x14ac:dyDescent="0.25">
      <c r="A3595" s="1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</row>
    <row r="3596" spans="1:19" x14ac:dyDescent="0.25">
      <c r="A3596" s="1"/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</row>
    <row r="3597" spans="1:19" x14ac:dyDescent="0.25">
      <c r="A3597" s="1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</row>
    <row r="3598" spans="1:19" x14ac:dyDescent="0.25">
      <c r="A3598" s="1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</row>
    <row r="3599" spans="1:19" x14ac:dyDescent="0.25">
      <c r="A3599" s="1"/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</row>
    <row r="3600" spans="1:19" x14ac:dyDescent="0.25">
      <c r="A3600" s="1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</row>
    <row r="3601" spans="1:19" x14ac:dyDescent="0.25">
      <c r="A3601" s="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</row>
    <row r="3602" spans="1:19" x14ac:dyDescent="0.25">
      <c r="A3602" s="1"/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</row>
    <row r="3603" spans="1:19" x14ac:dyDescent="0.25">
      <c r="A3603" s="1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</row>
    <row r="3604" spans="1:19" x14ac:dyDescent="0.25">
      <c r="A3604" s="1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</row>
    <row r="3605" spans="1:19" x14ac:dyDescent="0.25">
      <c r="A3605" s="1"/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</row>
    <row r="3606" spans="1:19" x14ac:dyDescent="0.25">
      <c r="A3606" s="1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</row>
    <row r="3607" spans="1:19" x14ac:dyDescent="0.25">
      <c r="A3607" s="1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</row>
    <row r="3608" spans="1:19" x14ac:dyDescent="0.25">
      <c r="A3608" s="1"/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</row>
    <row r="3609" spans="1:19" x14ac:dyDescent="0.25">
      <c r="A3609" s="1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</row>
    <row r="3610" spans="1:19" x14ac:dyDescent="0.25">
      <c r="A3610" s="1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</row>
    <row r="3611" spans="1:19" x14ac:dyDescent="0.25">
      <c r="A3611" s="1"/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</row>
    <row r="3612" spans="1:19" x14ac:dyDescent="0.25">
      <c r="A3612" s="1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</row>
    <row r="3613" spans="1:19" x14ac:dyDescent="0.25">
      <c r="A3613" s="1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</row>
    <row r="3614" spans="1:19" x14ac:dyDescent="0.25">
      <c r="A3614" s="1"/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</row>
    <row r="3615" spans="1:19" x14ac:dyDescent="0.25">
      <c r="A3615" s="1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</row>
    <row r="3616" spans="1:19" x14ac:dyDescent="0.25">
      <c r="A3616" s="1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</row>
    <row r="3617" spans="1:19" x14ac:dyDescent="0.25">
      <c r="A3617" s="1"/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</row>
    <row r="3618" spans="1:19" x14ac:dyDescent="0.25">
      <c r="A3618" s="1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</row>
    <row r="3619" spans="1:19" x14ac:dyDescent="0.25">
      <c r="A3619" s="1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</row>
    <row r="3620" spans="1:19" x14ac:dyDescent="0.25">
      <c r="A3620" s="1"/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</row>
    <row r="3621" spans="1:19" x14ac:dyDescent="0.25">
      <c r="A3621" s="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</row>
    <row r="3622" spans="1:19" x14ac:dyDescent="0.25">
      <c r="A3622" s="1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</row>
    <row r="3623" spans="1:19" x14ac:dyDescent="0.25">
      <c r="A3623" s="1"/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</row>
    <row r="3624" spans="1:19" x14ac:dyDescent="0.25">
      <c r="A3624" s="1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</row>
    <row r="3625" spans="1:19" x14ac:dyDescent="0.25">
      <c r="A3625" s="1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</row>
    <row r="3626" spans="1:19" x14ac:dyDescent="0.25">
      <c r="A3626" s="1"/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</row>
    <row r="3627" spans="1:19" x14ac:dyDescent="0.25">
      <c r="A3627" s="1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</row>
    <row r="3628" spans="1:19" x14ac:dyDescent="0.25">
      <c r="A3628" s="1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</row>
    <row r="3629" spans="1:19" x14ac:dyDescent="0.25">
      <c r="A3629" s="1"/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</row>
    <row r="3630" spans="1:19" x14ac:dyDescent="0.25">
      <c r="A3630" s="1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</row>
    <row r="3631" spans="1:19" x14ac:dyDescent="0.25">
      <c r="A3631" s="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</row>
    <row r="3632" spans="1:19" x14ac:dyDescent="0.25">
      <c r="A3632" s="1"/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</row>
    <row r="3633" spans="1:19" x14ac:dyDescent="0.25">
      <c r="A3633" s="1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</row>
    <row r="3634" spans="1:19" x14ac:dyDescent="0.25">
      <c r="A3634" s="1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</row>
    <row r="3635" spans="1:19" x14ac:dyDescent="0.25">
      <c r="A3635" s="1"/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</row>
    <row r="3636" spans="1:19" x14ac:dyDescent="0.25">
      <c r="A3636" s="1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</row>
    <row r="3637" spans="1:19" x14ac:dyDescent="0.25">
      <c r="A3637" s="1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</row>
    <row r="3638" spans="1:19" x14ac:dyDescent="0.25">
      <c r="A3638" s="1"/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</row>
    <row r="3639" spans="1:19" x14ac:dyDescent="0.25">
      <c r="A3639" s="1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</row>
    <row r="3640" spans="1:19" x14ac:dyDescent="0.25">
      <c r="A3640" s="1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</row>
    <row r="3641" spans="1:19" x14ac:dyDescent="0.25">
      <c r="A3641" s="1"/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</row>
    <row r="3642" spans="1:19" x14ac:dyDescent="0.25">
      <c r="A3642" s="1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</row>
    <row r="3643" spans="1:19" x14ac:dyDescent="0.25">
      <c r="A3643" s="1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</row>
    <row r="3644" spans="1:19" x14ac:dyDescent="0.25">
      <c r="A3644" s="1"/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</row>
    <row r="3645" spans="1:19" x14ac:dyDescent="0.25">
      <c r="A3645" s="1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</row>
    <row r="3646" spans="1:19" x14ac:dyDescent="0.25">
      <c r="A3646" s="1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</row>
    <row r="3647" spans="1:19" x14ac:dyDescent="0.25">
      <c r="A3647" s="1"/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</row>
    <row r="3648" spans="1:19" x14ac:dyDescent="0.25">
      <c r="A3648" s="1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</row>
    <row r="3649" spans="1:19" x14ac:dyDescent="0.25">
      <c r="A3649" s="1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</row>
    <row r="3650" spans="1:19" x14ac:dyDescent="0.25">
      <c r="A3650" s="1"/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</row>
    <row r="3651" spans="1:19" x14ac:dyDescent="0.25">
      <c r="A3651" s="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</row>
    <row r="3652" spans="1:19" x14ac:dyDescent="0.25">
      <c r="A3652" s="1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</row>
    <row r="3653" spans="1:19" x14ac:dyDescent="0.25">
      <c r="A3653" s="1"/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</row>
    <row r="3654" spans="1:19" x14ac:dyDescent="0.25">
      <c r="A3654" s="1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</row>
    <row r="3655" spans="1:19" x14ac:dyDescent="0.25">
      <c r="A3655" s="1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</row>
    <row r="3656" spans="1:19" x14ac:dyDescent="0.25">
      <c r="A3656" s="1"/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</row>
    <row r="3657" spans="1:19" x14ac:dyDescent="0.25">
      <c r="A3657" s="1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</row>
    <row r="3658" spans="1:19" x14ac:dyDescent="0.25">
      <c r="A3658" s="1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</row>
    <row r="3659" spans="1:19" x14ac:dyDescent="0.25">
      <c r="A3659" s="1"/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</row>
    <row r="3660" spans="1:19" x14ac:dyDescent="0.25">
      <c r="A3660" s="1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</row>
    <row r="3661" spans="1:19" x14ac:dyDescent="0.25">
      <c r="A3661" s="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</row>
    <row r="3662" spans="1:19" x14ac:dyDescent="0.25">
      <c r="A3662" s="1"/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</row>
    <row r="3663" spans="1:19" x14ac:dyDescent="0.25">
      <c r="A3663" s="1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</row>
    <row r="3664" spans="1:19" x14ac:dyDescent="0.25">
      <c r="A3664" s="1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</row>
    <row r="3665" spans="1:19" x14ac:dyDescent="0.25">
      <c r="A3665" s="1"/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</row>
    <row r="3666" spans="1:19" x14ac:dyDescent="0.25">
      <c r="A3666" s="1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</row>
    <row r="3667" spans="1:19" x14ac:dyDescent="0.25">
      <c r="A3667" s="1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</row>
    <row r="3668" spans="1:19" x14ac:dyDescent="0.25">
      <c r="A3668" s="1"/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</row>
    <row r="3669" spans="1:19" x14ac:dyDescent="0.25">
      <c r="A3669" s="1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</row>
    <row r="3670" spans="1:19" x14ac:dyDescent="0.25">
      <c r="A3670" s="1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</row>
    <row r="3671" spans="1:19" x14ac:dyDescent="0.25">
      <c r="A3671" s="1"/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</row>
    <row r="3672" spans="1:19" x14ac:dyDescent="0.25">
      <c r="A3672" s="1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</row>
    <row r="3673" spans="1:19" x14ac:dyDescent="0.25">
      <c r="A3673" s="1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</row>
    <row r="3674" spans="1:19" x14ac:dyDescent="0.25">
      <c r="A3674" s="1"/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</row>
    <row r="3675" spans="1:19" x14ac:dyDescent="0.25">
      <c r="A3675" s="1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</row>
    <row r="3676" spans="1:19" x14ac:dyDescent="0.25">
      <c r="A3676" s="1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</row>
    <row r="3677" spans="1:19" x14ac:dyDescent="0.25">
      <c r="A3677" s="1"/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</row>
    <row r="3678" spans="1:19" x14ac:dyDescent="0.25">
      <c r="A3678" s="1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</row>
    <row r="3679" spans="1:19" x14ac:dyDescent="0.25">
      <c r="A3679" s="1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</row>
    <row r="3680" spans="1:19" x14ac:dyDescent="0.25">
      <c r="A3680" s="1"/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</row>
    <row r="3681" spans="1:19" x14ac:dyDescent="0.25">
      <c r="A3681" s="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</row>
    <row r="3682" spans="1:19" x14ac:dyDescent="0.25">
      <c r="A3682" s="1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</row>
    <row r="3683" spans="1:19" x14ac:dyDescent="0.25">
      <c r="A3683" s="1"/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</row>
    <row r="3684" spans="1:19" x14ac:dyDescent="0.25">
      <c r="A3684" s="1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</row>
    <row r="3685" spans="1:19" x14ac:dyDescent="0.25">
      <c r="A3685" s="1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</row>
    <row r="3686" spans="1:19" x14ac:dyDescent="0.25">
      <c r="A3686" s="1"/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</row>
    <row r="3687" spans="1:19" x14ac:dyDescent="0.25">
      <c r="A3687" s="1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</row>
    <row r="3688" spans="1:19" x14ac:dyDescent="0.25">
      <c r="A3688" s="1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</row>
    <row r="3689" spans="1:19" x14ac:dyDescent="0.25">
      <c r="A3689" s="1"/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</row>
    <row r="3690" spans="1:19" x14ac:dyDescent="0.25">
      <c r="A3690" s="1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</row>
    <row r="3691" spans="1:19" x14ac:dyDescent="0.25">
      <c r="A3691" s="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</row>
    <row r="3692" spans="1:19" x14ac:dyDescent="0.25">
      <c r="A3692" s="1"/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</row>
    <row r="3693" spans="1:19" x14ac:dyDescent="0.25">
      <c r="A3693" s="1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</row>
    <row r="3694" spans="1:19" x14ac:dyDescent="0.25">
      <c r="A3694" s="1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</row>
    <row r="3695" spans="1:19" x14ac:dyDescent="0.25">
      <c r="A3695" s="1"/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</row>
    <row r="3696" spans="1:19" x14ac:dyDescent="0.25">
      <c r="A3696" s="1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</row>
    <row r="3697" spans="1:19" x14ac:dyDescent="0.25">
      <c r="A3697" s="1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</row>
    <row r="3698" spans="1:19" x14ac:dyDescent="0.25">
      <c r="A3698" s="1"/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</row>
    <row r="3699" spans="1:19" x14ac:dyDescent="0.25">
      <c r="A3699" s="1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</row>
    <row r="3700" spans="1:19" x14ac:dyDescent="0.25">
      <c r="A3700" s="1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</row>
    <row r="3701" spans="1:19" x14ac:dyDescent="0.25">
      <c r="A3701" s="1"/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</row>
    <row r="3702" spans="1:19" x14ac:dyDescent="0.25">
      <c r="A3702" s="1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</row>
    <row r="3703" spans="1:19" x14ac:dyDescent="0.25">
      <c r="A3703" s="1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</row>
    <row r="3704" spans="1:19" x14ac:dyDescent="0.25">
      <c r="A3704" s="1"/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</row>
    <row r="3705" spans="1:19" x14ac:dyDescent="0.25">
      <c r="A3705" s="1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</row>
    <row r="3706" spans="1:19" x14ac:dyDescent="0.25">
      <c r="A3706" s="1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</row>
    <row r="3707" spans="1:19" x14ac:dyDescent="0.25">
      <c r="A3707" s="1"/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</row>
    <row r="3708" spans="1:19" x14ac:dyDescent="0.25">
      <c r="A3708" s="1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</row>
    <row r="3709" spans="1:19" x14ac:dyDescent="0.25">
      <c r="A3709" s="1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</row>
    <row r="3710" spans="1:19" x14ac:dyDescent="0.25">
      <c r="A3710" s="1"/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</row>
    <row r="3711" spans="1:19" x14ac:dyDescent="0.25">
      <c r="A3711" s="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</row>
    <row r="3712" spans="1:19" x14ac:dyDescent="0.25">
      <c r="A3712" s="1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</row>
    <row r="3713" spans="1:19" x14ac:dyDescent="0.25">
      <c r="A3713" s="1"/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</row>
    <row r="3714" spans="1:19" x14ac:dyDescent="0.25">
      <c r="A3714" s="1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</row>
    <row r="3715" spans="1:19" x14ac:dyDescent="0.25">
      <c r="A3715" s="1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</row>
    <row r="3716" spans="1:19" x14ac:dyDescent="0.25">
      <c r="A3716" s="1"/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</row>
    <row r="3717" spans="1:19" x14ac:dyDescent="0.25">
      <c r="A3717" s="1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</row>
    <row r="3718" spans="1:19" x14ac:dyDescent="0.25">
      <c r="A3718" s="1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</row>
    <row r="3719" spans="1:19" x14ac:dyDescent="0.25">
      <c r="A3719" s="1"/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</row>
    <row r="3720" spans="1:19" x14ac:dyDescent="0.25">
      <c r="A3720" s="1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</row>
    <row r="3721" spans="1:19" x14ac:dyDescent="0.25">
      <c r="A3721" s="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</row>
    <row r="3722" spans="1:19" x14ac:dyDescent="0.25">
      <c r="A3722" s="1"/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</row>
    <row r="3723" spans="1:19" x14ac:dyDescent="0.25">
      <c r="A3723" s="1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</row>
    <row r="3724" spans="1:19" x14ac:dyDescent="0.25">
      <c r="A3724" s="1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</row>
    <row r="3725" spans="1:19" x14ac:dyDescent="0.25">
      <c r="A3725" s="1"/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</row>
    <row r="3726" spans="1:19" x14ac:dyDescent="0.25">
      <c r="A3726" s="1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</row>
    <row r="3727" spans="1:19" x14ac:dyDescent="0.25">
      <c r="A3727" s="1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</row>
    <row r="3728" spans="1:19" x14ac:dyDescent="0.25">
      <c r="A3728" s="1"/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</row>
    <row r="3729" spans="1:19" x14ac:dyDescent="0.25">
      <c r="A3729" s="1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</row>
    <row r="3730" spans="1:19" x14ac:dyDescent="0.25">
      <c r="A3730" s="1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</row>
    <row r="3731" spans="1:19" x14ac:dyDescent="0.25">
      <c r="A3731" s="1"/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</row>
    <row r="3732" spans="1:19" x14ac:dyDescent="0.25">
      <c r="A3732" s="1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</row>
    <row r="3733" spans="1:19" x14ac:dyDescent="0.25">
      <c r="A3733" s="1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</row>
    <row r="3734" spans="1:19" x14ac:dyDescent="0.25">
      <c r="A3734" s="1"/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</row>
    <row r="3735" spans="1:19" x14ac:dyDescent="0.25">
      <c r="A3735" s="1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</row>
    <row r="3736" spans="1:19" x14ac:dyDescent="0.25">
      <c r="A3736" s="1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</row>
    <row r="3737" spans="1:19" x14ac:dyDescent="0.25">
      <c r="A3737" s="1"/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</row>
    <row r="3738" spans="1:19" x14ac:dyDescent="0.25">
      <c r="A3738" s="1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</row>
    <row r="3739" spans="1:19" x14ac:dyDescent="0.25">
      <c r="A3739" s="1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</row>
    <row r="3740" spans="1:19" x14ac:dyDescent="0.25">
      <c r="A3740" s="1"/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</row>
    <row r="3741" spans="1:19" x14ac:dyDescent="0.25">
      <c r="A3741" s="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</row>
    <row r="3742" spans="1:19" x14ac:dyDescent="0.25">
      <c r="A3742" s="1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</row>
    <row r="3743" spans="1:19" x14ac:dyDescent="0.25">
      <c r="A3743" s="1"/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</row>
    <row r="3744" spans="1:19" x14ac:dyDescent="0.25">
      <c r="A3744" s="1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</row>
    <row r="3745" spans="1:19" x14ac:dyDescent="0.25">
      <c r="A3745" s="1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</row>
    <row r="3746" spans="1:19" x14ac:dyDescent="0.25">
      <c r="A3746" s="1"/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</row>
    <row r="3747" spans="1:19" x14ac:dyDescent="0.25">
      <c r="A3747" s="1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</row>
    <row r="3748" spans="1:19" x14ac:dyDescent="0.25">
      <c r="A3748" s="1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</row>
    <row r="3749" spans="1:19" x14ac:dyDescent="0.25">
      <c r="A3749" s="1"/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</row>
    <row r="3750" spans="1:19" x14ac:dyDescent="0.25">
      <c r="A3750" s="1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</row>
    <row r="3751" spans="1:19" x14ac:dyDescent="0.25">
      <c r="A3751" s="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</row>
    <row r="3752" spans="1:19" x14ac:dyDescent="0.25">
      <c r="A3752" s="1"/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</row>
    <row r="3753" spans="1:19" x14ac:dyDescent="0.25">
      <c r="A3753" s="1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</row>
    <row r="3754" spans="1:19" x14ac:dyDescent="0.25">
      <c r="A3754" s="1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</row>
    <row r="3755" spans="1:19" x14ac:dyDescent="0.25">
      <c r="A3755" s="1"/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</row>
    <row r="3756" spans="1:19" x14ac:dyDescent="0.25">
      <c r="A3756" s="1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</row>
    <row r="3757" spans="1:19" x14ac:dyDescent="0.25">
      <c r="A3757" s="1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</row>
    <row r="3758" spans="1:19" x14ac:dyDescent="0.25">
      <c r="A3758" s="1"/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</row>
    <row r="3759" spans="1:19" x14ac:dyDescent="0.25">
      <c r="A3759" s="1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</row>
    <row r="3760" spans="1:19" x14ac:dyDescent="0.25">
      <c r="A3760" s="1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</row>
    <row r="3761" spans="1:19" x14ac:dyDescent="0.25">
      <c r="A3761" s="1"/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</row>
    <row r="3762" spans="1:19" x14ac:dyDescent="0.25">
      <c r="A3762" s="1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</row>
    <row r="3763" spans="1:19" x14ac:dyDescent="0.25">
      <c r="A3763" s="1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</row>
    <row r="3764" spans="1:19" x14ac:dyDescent="0.25">
      <c r="A3764" s="1"/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</row>
    <row r="3765" spans="1:19" x14ac:dyDescent="0.25">
      <c r="A3765" s="1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</row>
    <row r="3766" spans="1:19" x14ac:dyDescent="0.25">
      <c r="A3766" s="1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</row>
    <row r="3767" spans="1:19" x14ac:dyDescent="0.25">
      <c r="A3767" s="1"/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</row>
    <row r="3768" spans="1:19" x14ac:dyDescent="0.25">
      <c r="A3768" s="1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</row>
    <row r="3769" spans="1:19" x14ac:dyDescent="0.25">
      <c r="A3769" s="1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</row>
    <row r="3770" spans="1:19" x14ac:dyDescent="0.25">
      <c r="A3770" s="1"/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</row>
    <row r="3771" spans="1:19" x14ac:dyDescent="0.25">
      <c r="A3771" s="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</row>
    <row r="3772" spans="1:19" x14ac:dyDescent="0.25">
      <c r="A3772" s="1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</row>
    <row r="3773" spans="1:19" x14ac:dyDescent="0.25">
      <c r="A3773" s="1"/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</row>
    <row r="3774" spans="1:19" x14ac:dyDescent="0.25">
      <c r="A3774" s="1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</row>
    <row r="3775" spans="1:19" x14ac:dyDescent="0.25">
      <c r="A3775" s="1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</row>
    <row r="3776" spans="1:19" x14ac:dyDescent="0.25">
      <c r="A3776" s="1"/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</row>
    <row r="3777" spans="1:19" x14ac:dyDescent="0.25">
      <c r="A3777" s="1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</row>
    <row r="3778" spans="1:19" x14ac:dyDescent="0.25">
      <c r="A3778" s="1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</row>
    <row r="3779" spans="1:19" x14ac:dyDescent="0.25">
      <c r="A3779" s="1"/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</row>
    <row r="3780" spans="1:19" x14ac:dyDescent="0.25">
      <c r="A3780" s="1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</row>
    <row r="3781" spans="1:19" x14ac:dyDescent="0.25">
      <c r="A3781" s="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</row>
    <row r="3782" spans="1:19" x14ac:dyDescent="0.25">
      <c r="A3782" s="1"/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</row>
    <row r="3783" spans="1:19" x14ac:dyDescent="0.25">
      <c r="A3783" s="1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</row>
    <row r="3784" spans="1:19" x14ac:dyDescent="0.25">
      <c r="A3784" s="1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</row>
    <row r="3785" spans="1:19" x14ac:dyDescent="0.25">
      <c r="A3785" s="1"/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</row>
    <row r="3786" spans="1:19" x14ac:dyDescent="0.25">
      <c r="A3786" s="1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</row>
    <row r="3787" spans="1:19" x14ac:dyDescent="0.25">
      <c r="A3787" s="1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</row>
    <row r="3788" spans="1:19" x14ac:dyDescent="0.25">
      <c r="A3788" s="1"/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</row>
    <row r="3789" spans="1:19" x14ac:dyDescent="0.25">
      <c r="A3789" s="1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</row>
    <row r="3790" spans="1:19" x14ac:dyDescent="0.25">
      <c r="A3790" s="1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</row>
    <row r="3791" spans="1:19" x14ac:dyDescent="0.25">
      <c r="A3791" s="1"/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</row>
    <row r="3792" spans="1:19" x14ac:dyDescent="0.25">
      <c r="A3792" s="1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</row>
    <row r="3793" spans="1:19" x14ac:dyDescent="0.25">
      <c r="A3793" s="1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</row>
    <row r="3794" spans="1:19" x14ac:dyDescent="0.25">
      <c r="A3794" s="1"/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</row>
    <row r="3795" spans="1:19" x14ac:dyDescent="0.25">
      <c r="A3795" s="1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</row>
    <row r="3796" spans="1:19" x14ac:dyDescent="0.25">
      <c r="A3796" s="1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</row>
    <row r="3797" spans="1:19" x14ac:dyDescent="0.25">
      <c r="A3797" s="1"/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</row>
    <row r="3798" spans="1:19" x14ac:dyDescent="0.25">
      <c r="A3798" s="1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</row>
    <row r="3799" spans="1:19" x14ac:dyDescent="0.25">
      <c r="A3799" s="1"/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</row>
    <row r="3800" spans="1:19" x14ac:dyDescent="0.25">
      <c r="A3800" s="1"/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</row>
    <row r="3801" spans="1:19" x14ac:dyDescent="0.25">
      <c r="A3801" s="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</row>
    <row r="3802" spans="1:19" x14ac:dyDescent="0.25">
      <c r="A3802" s="1"/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</row>
    <row r="3803" spans="1:19" x14ac:dyDescent="0.25">
      <c r="A3803" s="1"/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</row>
    <row r="3804" spans="1:19" x14ac:dyDescent="0.25">
      <c r="A3804" s="1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</row>
    <row r="3805" spans="1:19" x14ac:dyDescent="0.25">
      <c r="A3805" s="1"/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</row>
    <row r="3806" spans="1:19" x14ac:dyDescent="0.25">
      <c r="A3806" s="1"/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</row>
    <row r="3807" spans="1:19" x14ac:dyDescent="0.25">
      <c r="A3807" s="1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</row>
    <row r="3808" spans="1:19" x14ac:dyDescent="0.25">
      <c r="A3808" s="1"/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</row>
    <row r="3809" spans="1:19" x14ac:dyDescent="0.25">
      <c r="A3809" s="1"/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</row>
    <row r="3810" spans="1:19" x14ac:dyDescent="0.25">
      <c r="A3810" s="1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</row>
    <row r="3811" spans="1:19" x14ac:dyDescent="0.25">
      <c r="A3811" s="1"/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</row>
    <row r="3812" spans="1:19" x14ac:dyDescent="0.25">
      <c r="A3812" s="1"/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</row>
    <row r="3813" spans="1:19" x14ac:dyDescent="0.25">
      <c r="A3813" s="1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</row>
    <row r="3814" spans="1:19" x14ac:dyDescent="0.25">
      <c r="A3814" s="1"/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</row>
    <row r="3815" spans="1:19" x14ac:dyDescent="0.25">
      <c r="A3815" s="1"/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</row>
    <row r="3816" spans="1:19" x14ac:dyDescent="0.25">
      <c r="A3816" s="1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</row>
    <row r="3817" spans="1:19" x14ac:dyDescent="0.25">
      <c r="A3817" s="1"/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</row>
    <row r="3818" spans="1:19" x14ac:dyDescent="0.25">
      <c r="A3818" s="1"/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</row>
    <row r="3819" spans="1:19" x14ac:dyDescent="0.25">
      <c r="A3819" s="1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</row>
    <row r="3820" spans="1:19" x14ac:dyDescent="0.25">
      <c r="A3820" s="1"/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</row>
    <row r="3821" spans="1:19" x14ac:dyDescent="0.25">
      <c r="A3821" s="1"/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</row>
    <row r="3822" spans="1:19" x14ac:dyDescent="0.25">
      <c r="A3822" s="1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</row>
    <row r="3823" spans="1:19" x14ac:dyDescent="0.25">
      <c r="A3823" s="1"/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</row>
    <row r="3824" spans="1:19" x14ac:dyDescent="0.25">
      <c r="A3824" s="1"/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</row>
    <row r="3825" spans="1:19" x14ac:dyDescent="0.25">
      <c r="A3825" s="1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</row>
    <row r="3826" spans="1:19" x14ac:dyDescent="0.25">
      <c r="A3826" s="1"/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</row>
    <row r="3827" spans="1:19" x14ac:dyDescent="0.25">
      <c r="A3827" s="1"/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</row>
    <row r="3828" spans="1:19" x14ac:dyDescent="0.25">
      <c r="A3828" s="1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</row>
    <row r="3829" spans="1:19" x14ac:dyDescent="0.25">
      <c r="A3829" s="1"/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</row>
    <row r="3830" spans="1:19" x14ac:dyDescent="0.25">
      <c r="A3830" s="1"/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</row>
    <row r="3831" spans="1:19" x14ac:dyDescent="0.25">
      <c r="A3831" s="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</row>
    <row r="3832" spans="1:19" x14ac:dyDescent="0.25">
      <c r="A3832" s="1"/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</row>
    <row r="3833" spans="1:19" x14ac:dyDescent="0.25">
      <c r="A3833" s="1"/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</row>
    <row r="3834" spans="1:19" x14ac:dyDescent="0.25">
      <c r="A3834" s="1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</row>
    <row r="3835" spans="1:19" x14ac:dyDescent="0.25">
      <c r="A3835" s="1"/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</row>
    <row r="3836" spans="1:19" x14ac:dyDescent="0.25">
      <c r="A3836" s="1"/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</row>
    <row r="3837" spans="1:19" x14ac:dyDescent="0.25">
      <c r="A3837" s="1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</row>
    <row r="3838" spans="1:19" x14ac:dyDescent="0.25">
      <c r="A3838" s="1"/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</row>
    <row r="3839" spans="1:19" x14ac:dyDescent="0.25">
      <c r="A3839" s="1"/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</row>
    <row r="3840" spans="1:19" x14ac:dyDescent="0.25">
      <c r="A3840" s="1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</row>
    <row r="3841" spans="1:19" x14ac:dyDescent="0.25">
      <c r="A3841" s="1"/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</row>
    <row r="3842" spans="1:19" x14ac:dyDescent="0.25">
      <c r="A3842" s="1"/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</row>
    <row r="3843" spans="1:19" x14ac:dyDescent="0.25">
      <c r="A3843" s="1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</row>
    <row r="3844" spans="1:19" x14ac:dyDescent="0.25">
      <c r="A3844" s="1"/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</row>
    <row r="3845" spans="1:19" x14ac:dyDescent="0.25">
      <c r="A3845" s="1"/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</row>
    <row r="3846" spans="1:19" x14ac:dyDescent="0.25">
      <c r="A3846" s="1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</row>
    <row r="3847" spans="1:19" x14ac:dyDescent="0.25">
      <c r="A3847" s="1"/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</row>
    <row r="3848" spans="1:19" x14ac:dyDescent="0.25">
      <c r="A3848" s="1"/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</row>
    <row r="3849" spans="1:19" x14ac:dyDescent="0.25">
      <c r="A3849" s="1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</row>
    <row r="3850" spans="1:19" x14ac:dyDescent="0.25">
      <c r="A3850" s="1"/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</row>
    <row r="3851" spans="1:19" x14ac:dyDescent="0.25">
      <c r="A3851" s="1"/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</row>
    <row r="3852" spans="1:19" x14ac:dyDescent="0.25">
      <c r="A3852" s="1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</row>
    <row r="3853" spans="1:19" x14ac:dyDescent="0.25">
      <c r="A3853" s="1"/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</row>
    <row r="3854" spans="1:19" x14ac:dyDescent="0.25">
      <c r="A3854" s="1"/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</row>
    <row r="3855" spans="1:19" x14ac:dyDescent="0.25">
      <c r="A3855" s="1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</row>
    <row r="3856" spans="1:19" x14ac:dyDescent="0.25">
      <c r="A3856" s="1"/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</row>
    <row r="3857" spans="1:19" x14ac:dyDescent="0.25">
      <c r="A3857" s="1"/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</row>
    <row r="3858" spans="1:19" x14ac:dyDescent="0.25">
      <c r="A3858" s="1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</row>
    <row r="3859" spans="1:19" x14ac:dyDescent="0.25">
      <c r="A3859" s="1"/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</row>
    <row r="3860" spans="1:19" x14ac:dyDescent="0.25">
      <c r="A3860" s="1"/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</row>
    <row r="3861" spans="1:19" x14ac:dyDescent="0.25">
      <c r="A3861" s="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</row>
    <row r="3862" spans="1:19" x14ac:dyDescent="0.25">
      <c r="A3862" s="1"/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</row>
    <row r="3863" spans="1:19" x14ac:dyDescent="0.25">
      <c r="A3863" s="1"/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</row>
    <row r="3864" spans="1:19" x14ac:dyDescent="0.25">
      <c r="A3864" s="1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</row>
    <row r="3865" spans="1:19" x14ac:dyDescent="0.25">
      <c r="A3865" s="1"/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</row>
    <row r="3866" spans="1:19" x14ac:dyDescent="0.25">
      <c r="A3866" s="1"/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</row>
    <row r="3867" spans="1:19" x14ac:dyDescent="0.25">
      <c r="A3867" s="1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</row>
    <row r="3868" spans="1:19" x14ac:dyDescent="0.25">
      <c r="A3868" s="1"/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</row>
    <row r="3869" spans="1:19" x14ac:dyDescent="0.25">
      <c r="A3869" s="1"/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</row>
    <row r="3870" spans="1:19" x14ac:dyDescent="0.25">
      <c r="A3870" s="1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</row>
    <row r="3871" spans="1:19" x14ac:dyDescent="0.25">
      <c r="A3871" s="1"/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</row>
    <row r="3872" spans="1:19" x14ac:dyDescent="0.25">
      <c r="A3872" s="1"/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</row>
    <row r="3873" spans="1:19" x14ac:dyDescent="0.25">
      <c r="A3873" s="1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</row>
    <row r="3874" spans="1:19" x14ac:dyDescent="0.25">
      <c r="A3874" s="1"/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</row>
    <row r="3875" spans="1:19" x14ac:dyDescent="0.25">
      <c r="A3875" s="1"/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</row>
    <row r="3876" spans="1:19" x14ac:dyDescent="0.25">
      <c r="A3876" s="1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</row>
    <row r="3877" spans="1:19" x14ac:dyDescent="0.25">
      <c r="A3877" s="1"/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</row>
    <row r="3878" spans="1:19" x14ac:dyDescent="0.25">
      <c r="A3878" s="1"/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</row>
    <row r="3879" spans="1:19" x14ac:dyDescent="0.25">
      <c r="A3879" s="1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</row>
    <row r="3880" spans="1:19" x14ac:dyDescent="0.25">
      <c r="A3880" s="1"/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</row>
    <row r="3881" spans="1:19" x14ac:dyDescent="0.25">
      <c r="A3881" s="1"/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</row>
    <row r="3882" spans="1:19" x14ac:dyDescent="0.25">
      <c r="A3882" s="1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</row>
    <row r="3883" spans="1:19" x14ac:dyDescent="0.25">
      <c r="A3883" s="1"/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</row>
    <row r="3884" spans="1:19" x14ac:dyDescent="0.25">
      <c r="A3884" s="1"/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</row>
    <row r="3885" spans="1:19" x14ac:dyDescent="0.25">
      <c r="A3885" s="1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</row>
    <row r="3886" spans="1:19" x14ac:dyDescent="0.25">
      <c r="A3886" s="1"/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</row>
    <row r="3887" spans="1:19" x14ac:dyDescent="0.25">
      <c r="A3887" s="1"/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</row>
    <row r="3888" spans="1:19" x14ac:dyDescent="0.25">
      <c r="A3888" s="1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</row>
    <row r="3889" spans="1:19" x14ac:dyDescent="0.25">
      <c r="A3889" s="1"/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</row>
    <row r="3890" spans="1:19" x14ac:dyDescent="0.25">
      <c r="A3890" s="1"/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</row>
    <row r="3891" spans="1:19" x14ac:dyDescent="0.25">
      <c r="A3891" s="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</row>
    <row r="3892" spans="1:19" x14ac:dyDescent="0.25">
      <c r="A3892" s="1"/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</row>
    <row r="3893" spans="1:19" x14ac:dyDescent="0.25">
      <c r="A3893" s="1"/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</row>
    <row r="3894" spans="1:19" x14ac:dyDescent="0.25">
      <c r="A3894" s="1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</row>
    <row r="3895" spans="1:19" x14ac:dyDescent="0.25">
      <c r="A3895" s="1"/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</row>
    <row r="3896" spans="1:19" x14ac:dyDescent="0.25">
      <c r="A3896" s="1"/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</row>
    <row r="3897" spans="1:19" x14ac:dyDescent="0.25">
      <c r="A3897" s="1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</row>
    <row r="3898" spans="1:19" x14ac:dyDescent="0.25">
      <c r="A3898" s="1"/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</row>
    <row r="3899" spans="1:19" x14ac:dyDescent="0.25">
      <c r="A3899" s="1"/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</row>
    <row r="3900" spans="1:19" x14ac:dyDescent="0.25">
      <c r="A3900" s="1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</row>
    <row r="3901" spans="1:19" x14ac:dyDescent="0.25">
      <c r="A3901" s="1"/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</row>
    <row r="3902" spans="1:19" x14ac:dyDescent="0.25">
      <c r="A3902" s="1"/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</row>
    <row r="3903" spans="1:19" x14ac:dyDescent="0.25">
      <c r="A3903" s="1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</row>
    <row r="3904" spans="1:19" x14ac:dyDescent="0.25">
      <c r="A3904" s="1"/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</row>
    <row r="3905" spans="1:19" x14ac:dyDescent="0.25">
      <c r="A3905" s="1"/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</row>
    <row r="3906" spans="1:19" x14ac:dyDescent="0.25">
      <c r="A3906" s="1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</row>
    <row r="3907" spans="1:19" x14ac:dyDescent="0.25">
      <c r="A3907" s="1"/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</row>
    <row r="3908" spans="1:19" x14ac:dyDescent="0.25">
      <c r="A3908" s="1"/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</row>
    <row r="3909" spans="1:19" x14ac:dyDescent="0.25">
      <c r="A3909" s="1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</row>
    <row r="3910" spans="1:19" x14ac:dyDescent="0.25">
      <c r="A3910" s="1"/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</row>
    <row r="3911" spans="1:19" x14ac:dyDescent="0.25">
      <c r="A3911" s="1"/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</row>
    <row r="3912" spans="1:19" x14ac:dyDescent="0.25">
      <c r="A3912" s="1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</row>
    <row r="3913" spans="1:19" x14ac:dyDescent="0.25">
      <c r="A3913" s="1"/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</row>
    <row r="3914" spans="1:19" x14ac:dyDescent="0.25">
      <c r="A3914" s="1"/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</row>
    <row r="3915" spans="1:19" x14ac:dyDescent="0.25">
      <c r="A3915" s="1"/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</row>
    <row r="3916" spans="1:19" x14ac:dyDescent="0.25">
      <c r="A3916" s="1"/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</row>
    <row r="3917" spans="1:19" x14ac:dyDescent="0.25">
      <c r="A3917" s="1"/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</row>
    <row r="3918" spans="1:19" x14ac:dyDescent="0.25">
      <c r="A3918" s="1"/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</row>
    <row r="3919" spans="1:19" x14ac:dyDescent="0.25">
      <c r="A3919" s="1"/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</row>
    <row r="3920" spans="1:19" x14ac:dyDescent="0.25">
      <c r="A3920" s="1"/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</row>
    <row r="3921" spans="1:19" x14ac:dyDescent="0.25">
      <c r="A3921" s="1"/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</row>
    <row r="3922" spans="1:19" x14ac:dyDescent="0.25">
      <c r="A3922" s="1"/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</row>
    <row r="3923" spans="1:19" x14ac:dyDescent="0.25">
      <c r="A3923" s="1"/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</row>
    <row r="3924" spans="1:19" x14ac:dyDescent="0.25">
      <c r="A3924" s="1"/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</row>
    <row r="3925" spans="1:19" x14ac:dyDescent="0.25">
      <c r="A3925" s="1"/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</row>
    <row r="3926" spans="1:19" x14ac:dyDescent="0.25">
      <c r="A3926" s="1"/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</row>
    <row r="3927" spans="1:19" x14ac:dyDescent="0.25">
      <c r="A3927" s="1"/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</row>
    <row r="3928" spans="1:19" x14ac:dyDescent="0.25">
      <c r="A3928" s="1"/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</row>
    <row r="3929" spans="1:19" x14ac:dyDescent="0.25">
      <c r="A3929" s="1"/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</row>
    <row r="3930" spans="1:19" x14ac:dyDescent="0.25">
      <c r="A3930" s="1"/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</row>
    <row r="3931" spans="1:19" x14ac:dyDescent="0.25">
      <c r="A3931" s="1"/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</row>
    <row r="3932" spans="1:19" x14ac:dyDescent="0.25">
      <c r="A3932" s="1"/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</row>
    <row r="3933" spans="1:19" x14ac:dyDescent="0.25">
      <c r="A3933" s="1"/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</row>
    <row r="3934" spans="1:19" x14ac:dyDescent="0.25">
      <c r="A3934" s="1"/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</row>
    <row r="3935" spans="1:19" x14ac:dyDescent="0.25">
      <c r="A3935" s="1"/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</row>
    <row r="3936" spans="1:19" x14ac:dyDescent="0.25">
      <c r="A3936" s="1"/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</row>
    <row r="3937" spans="1:19" x14ac:dyDescent="0.25">
      <c r="A3937" s="1"/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</row>
    <row r="3938" spans="1:19" x14ac:dyDescent="0.25">
      <c r="A3938" s="1"/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</row>
    <row r="3939" spans="1:19" x14ac:dyDescent="0.25">
      <c r="A3939" s="1"/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</row>
    <row r="3940" spans="1:19" x14ac:dyDescent="0.25">
      <c r="A3940" s="1"/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</row>
    <row r="3941" spans="1:19" x14ac:dyDescent="0.25">
      <c r="A3941" s="1"/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</row>
    <row r="3942" spans="1:19" x14ac:dyDescent="0.25">
      <c r="A3942" s="1"/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</row>
    <row r="3943" spans="1:19" x14ac:dyDescent="0.25">
      <c r="A3943" s="1"/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</row>
    <row r="3944" spans="1:19" x14ac:dyDescent="0.25">
      <c r="A3944" s="1"/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</row>
    <row r="3945" spans="1:19" x14ac:dyDescent="0.25">
      <c r="A3945" s="1"/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</row>
    <row r="3946" spans="1:19" x14ac:dyDescent="0.25">
      <c r="A3946" s="1"/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</row>
    <row r="3947" spans="1:19" x14ac:dyDescent="0.25">
      <c r="A3947" s="1"/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</row>
    <row r="3948" spans="1:19" x14ac:dyDescent="0.25">
      <c r="A3948" s="1"/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</row>
    <row r="3949" spans="1:19" x14ac:dyDescent="0.25">
      <c r="A3949" s="1"/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</row>
    <row r="3950" spans="1:19" x14ac:dyDescent="0.25">
      <c r="A3950" s="1"/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</row>
    <row r="3951" spans="1:19" x14ac:dyDescent="0.25">
      <c r="A3951" s="1"/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</row>
    <row r="3952" spans="1:19" x14ac:dyDescent="0.25">
      <c r="A3952" s="1"/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</row>
    <row r="3953" spans="1:19" x14ac:dyDescent="0.25">
      <c r="A3953" s="1"/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</row>
    <row r="3954" spans="1:19" x14ac:dyDescent="0.25">
      <c r="A3954" s="1"/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</row>
    <row r="3955" spans="1:19" x14ac:dyDescent="0.25">
      <c r="A3955" s="1"/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</row>
    <row r="3956" spans="1:19" x14ac:dyDescent="0.25">
      <c r="A3956" s="1"/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</row>
    <row r="3957" spans="1:19" x14ac:dyDescent="0.25">
      <c r="A3957" s="1"/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</row>
    <row r="3958" spans="1:19" x14ac:dyDescent="0.25">
      <c r="A3958" s="1"/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</row>
    <row r="3959" spans="1:19" x14ac:dyDescent="0.25">
      <c r="A3959" s="1"/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</row>
    <row r="3960" spans="1:19" x14ac:dyDescent="0.25">
      <c r="A3960" s="1"/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</row>
    <row r="3961" spans="1:19" x14ac:dyDescent="0.25">
      <c r="A3961" s="1"/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</row>
    <row r="3962" spans="1:19" x14ac:dyDescent="0.25">
      <c r="A3962" s="1"/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</row>
    <row r="3963" spans="1:19" x14ac:dyDescent="0.25">
      <c r="A3963" s="1"/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</row>
    <row r="3964" spans="1:19" x14ac:dyDescent="0.25">
      <c r="A3964" s="1"/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</row>
    <row r="3965" spans="1:19" x14ac:dyDescent="0.25">
      <c r="A3965" s="1"/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</row>
    <row r="3966" spans="1:19" x14ac:dyDescent="0.25">
      <c r="A3966" s="1"/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</row>
    <row r="3967" spans="1:19" x14ac:dyDescent="0.25">
      <c r="A3967" s="1"/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</row>
    <row r="3968" spans="1:19" x14ac:dyDescent="0.25">
      <c r="A3968" s="1"/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</row>
    <row r="3969" spans="1:19" x14ac:dyDescent="0.25">
      <c r="A3969" s="1"/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</row>
    <row r="3970" spans="1:19" x14ac:dyDescent="0.25">
      <c r="A3970" s="1"/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</row>
    <row r="3971" spans="1:19" x14ac:dyDescent="0.25">
      <c r="A3971" s="1"/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</row>
    <row r="3972" spans="1:19" x14ac:dyDescent="0.25">
      <c r="A3972" s="1"/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</row>
    <row r="3973" spans="1:19" x14ac:dyDescent="0.25">
      <c r="A3973" s="1"/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</row>
    <row r="3974" spans="1:19" x14ac:dyDescent="0.25">
      <c r="A3974" s="1"/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</row>
    <row r="3975" spans="1:19" x14ac:dyDescent="0.25">
      <c r="A3975" s="1"/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</row>
    <row r="3976" spans="1:19" x14ac:dyDescent="0.25">
      <c r="A3976" s="1"/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</row>
    <row r="3977" spans="1:19" x14ac:dyDescent="0.25">
      <c r="A3977" s="1"/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</row>
    <row r="3978" spans="1:19" x14ac:dyDescent="0.25">
      <c r="A3978" s="1"/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</row>
    <row r="3979" spans="1:19" x14ac:dyDescent="0.25">
      <c r="A3979" s="1"/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</row>
    <row r="3980" spans="1:19" x14ac:dyDescent="0.25">
      <c r="A3980" s="1"/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</row>
    <row r="3981" spans="1:19" x14ac:dyDescent="0.25">
      <c r="A3981" s="1"/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</row>
    <row r="3982" spans="1:19" x14ac:dyDescent="0.25">
      <c r="A3982" s="1"/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</row>
    <row r="3983" spans="1:19" x14ac:dyDescent="0.25">
      <c r="A3983" s="1"/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</row>
    <row r="3984" spans="1:19" x14ac:dyDescent="0.25">
      <c r="A3984" s="1"/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</row>
    <row r="3985" spans="1:19" x14ac:dyDescent="0.25">
      <c r="A3985" s="1"/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</row>
    <row r="3986" spans="1:19" x14ac:dyDescent="0.25">
      <c r="A3986" s="1"/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</row>
    <row r="3987" spans="1:19" x14ac:dyDescent="0.25">
      <c r="A3987" s="1"/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</row>
    <row r="3988" spans="1:19" x14ac:dyDescent="0.25">
      <c r="A3988" s="1"/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</row>
    <row r="3989" spans="1:19" x14ac:dyDescent="0.25">
      <c r="A3989" s="1"/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</row>
    <row r="3990" spans="1:19" x14ac:dyDescent="0.25">
      <c r="A3990" s="1"/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</row>
    <row r="3991" spans="1:19" x14ac:dyDescent="0.25">
      <c r="A3991" s="1"/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</row>
    <row r="3992" spans="1:19" x14ac:dyDescent="0.25">
      <c r="A3992" s="1"/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</row>
    <row r="3993" spans="1:19" x14ac:dyDescent="0.25">
      <c r="A3993" s="1"/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</row>
    <row r="3994" spans="1:19" x14ac:dyDescent="0.25">
      <c r="A3994" s="1"/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</row>
    <row r="3995" spans="1:19" x14ac:dyDescent="0.25">
      <c r="A3995" s="1"/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</row>
    <row r="3996" spans="1:19" x14ac:dyDescent="0.25">
      <c r="A3996" s="1"/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</row>
    <row r="3997" spans="1:19" x14ac:dyDescent="0.25">
      <c r="A3997" s="1"/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</row>
    <row r="3998" spans="1:19" x14ac:dyDescent="0.25">
      <c r="A3998" s="1"/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</row>
    <row r="3999" spans="1:19" x14ac:dyDescent="0.25">
      <c r="A3999" s="1"/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</row>
    <row r="4000" spans="1:19" x14ac:dyDescent="0.25">
      <c r="A4000" s="1"/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</row>
    <row r="4001" spans="1:19" x14ac:dyDescent="0.25">
      <c r="A4001" s="1"/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</row>
    <row r="4002" spans="1:19" x14ac:dyDescent="0.25">
      <c r="A4002" s="1"/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</row>
    <row r="4003" spans="1:19" x14ac:dyDescent="0.25">
      <c r="A4003" s="1"/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</row>
    <row r="4004" spans="1:19" x14ac:dyDescent="0.25">
      <c r="A4004" s="1"/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</row>
    <row r="4005" spans="1:19" x14ac:dyDescent="0.25">
      <c r="A4005" s="1"/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</row>
    <row r="4006" spans="1:19" x14ac:dyDescent="0.25">
      <c r="A4006" s="1"/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</row>
    <row r="4007" spans="1:19" x14ac:dyDescent="0.25">
      <c r="A4007" s="1"/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</row>
    <row r="4008" spans="1:19" x14ac:dyDescent="0.25">
      <c r="A4008" s="1"/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</row>
    <row r="4009" spans="1:19" x14ac:dyDescent="0.25">
      <c r="A4009" s="1"/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</row>
    <row r="4010" spans="1:19" x14ac:dyDescent="0.25">
      <c r="A4010" s="1"/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</row>
    <row r="4011" spans="1:19" x14ac:dyDescent="0.25">
      <c r="A4011" s="1"/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</row>
    <row r="4012" spans="1:19" x14ac:dyDescent="0.25">
      <c r="A4012" s="1"/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</row>
    <row r="4013" spans="1:19" x14ac:dyDescent="0.25">
      <c r="A4013" s="1"/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</row>
    <row r="4014" spans="1:19" x14ac:dyDescent="0.25">
      <c r="A4014" s="1"/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</row>
    <row r="4015" spans="1:19" x14ac:dyDescent="0.25">
      <c r="A4015" s="1"/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</row>
    <row r="4016" spans="1:19" x14ac:dyDescent="0.25">
      <c r="A4016" s="1"/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</row>
    <row r="4017" spans="1:19" x14ac:dyDescent="0.25">
      <c r="A4017" s="1"/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</row>
    <row r="4018" spans="1:19" x14ac:dyDescent="0.25">
      <c r="A4018" s="1"/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</row>
    <row r="4019" spans="1:19" x14ac:dyDescent="0.25">
      <c r="A4019" s="1"/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</row>
    <row r="4020" spans="1:19" x14ac:dyDescent="0.25">
      <c r="A4020" s="1"/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</row>
    <row r="4021" spans="1:19" x14ac:dyDescent="0.25">
      <c r="A4021" s="1"/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</row>
    <row r="4022" spans="1:19" x14ac:dyDescent="0.25">
      <c r="A4022" s="1"/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</row>
    <row r="4023" spans="1:19" x14ac:dyDescent="0.25">
      <c r="A4023" s="1"/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</row>
    <row r="4024" spans="1:19" x14ac:dyDescent="0.25">
      <c r="A4024" s="1"/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</row>
    <row r="4025" spans="1:19" x14ac:dyDescent="0.25">
      <c r="A4025" s="1"/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</row>
    <row r="4026" spans="1:19" x14ac:dyDescent="0.25">
      <c r="A4026" s="1"/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</row>
    <row r="4027" spans="1:19" x14ac:dyDescent="0.25">
      <c r="A4027" s="1"/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</row>
    <row r="4028" spans="1:19" x14ac:dyDescent="0.25">
      <c r="A4028" s="1"/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</row>
    <row r="4029" spans="1:19" x14ac:dyDescent="0.25">
      <c r="A4029" s="1"/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</row>
    <row r="4030" spans="1:19" x14ac:dyDescent="0.25">
      <c r="A4030" s="1"/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</row>
    <row r="4031" spans="1:19" x14ac:dyDescent="0.25">
      <c r="A4031" s="1"/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</row>
    <row r="4032" spans="1:19" x14ac:dyDescent="0.25">
      <c r="A4032" s="1"/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</row>
    <row r="4033" spans="1:19" x14ac:dyDescent="0.25">
      <c r="A4033" s="1"/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</row>
    <row r="4034" spans="1:19" x14ac:dyDescent="0.25">
      <c r="A4034" s="1"/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</row>
    <row r="4035" spans="1:19" x14ac:dyDescent="0.25">
      <c r="A4035" s="1"/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</row>
    <row r="4036" spans="1:19" x14ac:dyDescent="0.25">
      <c r="A4036" s="1"/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</row>
    <row r="4037" spans="1:19" x14ac:dyDescent="0.25">
      <c r="A4037" s="1"/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</row>
    <row r="4038" spans="1:19" x14ac:dyDescent="0.25">
      <c r="A4038" s="1"/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</row>
    <row r="4039" spans="1:19" x14ac:dyDescent="0.25">
      <c r="A4039" s="1"/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</row>
    <row r="4040" spans="1:19" x14ac:dyDescent="0.25">
      <c r="A4040" s="1"/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</row>
    <row r="4041" spans="1:19" x14ac:dyDescent="0.25">
      <c r="A4041" s="1"/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</row>
    <row r="4042" spans="1:19" x14ac:dyDescent="0.25">
      <c r="A4042" s="1"/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</row>
    <row r="4043" spans="1:19" x14ac:dyDescent="0.25">
      <c r="A4043" s="1"/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</row>
    <row r="4044" spans="1:19" x14ac:dyDescent="0.25">
      <c r="A4044" s="1"/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</row>
    <row r="4045" spans="1:19" x14ac:dyDescent="0.25">
      <c r="A4045" s="1"/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</row>
    <row r="4046" spans="1:19" x14ac:dyDescent="0.25">
      <c r="A4046" s="1"/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</row>
    <row r="4047" spans="1:19" x14ac:dyDescent="0.25">
      <c r="A4047" s="1"/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</row>
    <row r="4048" spans="1:19" x14ac:dyDescent="0.25">
      <c r="A4048" s="1"/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</row>
    <row r="4049" spans="1:19" x14ac:dyDescent="0.25">
      <c r="A4049" s="1"/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</row>
    <row r="4050" spans="1:19" x14ac:dyDescent="0.25">
      <c r="A4050" s="1"/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</row>
    <row r="4051" spans="1:19" x14ac:dyDescent="0.25">
      <c r="A4051" s="1"/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</row>
    <row r="4052" spans="1:19" x14ac:dyDescent="0.25">
      <c r="A4052" s="1"/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</row>
    <row r="4053" spans="1:19" x14ac:dyDescent="0.25">
      <c r="A4053" s="1"/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</row>
    <row r="4054" spans="1:19" x14ac:dyDescent="0.25">
      <c r="A4054" s="1"/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</row>
    <row r="4055" spans="1:19" x14ac:dyDescent="0.25">
      <c r="A4055" s="1"/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</row>
    <row r="4056" spans="1:19" x14ac:dyDescent="0.25">
      <c r="A4056" s="1"/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</row>
    <row r="4057" spans="1:19" x14ac:dyDescent="0.25">
      <c r="A4057" s="1"/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</row>
    <row r="4058" spans="1:19" x14ac:dyDescent="0.25">
      <c r="A4058" s="1"/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</row>
    <row r="4059" spans="1:19" x14ac:dyDescent="0.25">
      <c r="A4059" s="1"/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</row>
    <row r="4060" spans="1:19" x14ac:dyDescent="0.25">
      <c r="A4060" s="1"/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</row>
    <row r="4061" spans="1:19" x14ac:dyDescent="0.25">
      <c r="A4061" s="1"/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</row>
    <row r="4062" spans="1:19" x14ac:dyDescent="0.25">
      <c r="A4062" s="1"/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</row>
    <row r="4063" spans="1:19" x14ac:dyDescent="0.25">
      <c r="A4063" s="1"/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</row>
    <row r="4064" spans="1:19" x14ac:dyDescent="0.25">
      <c r="A4064" s="1"/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</row>
    <row r="4065" spans="1:19" x14ac:dyDescent="0.25">
      <c r="A4065" s="1"/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</row>
    <row r="4066" spans="1:19" x14ac:dyDescent="0.25">
      <c r="A4066" s="1"/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</row>
    <row r="4067" spans="1:19" x14ac:dyDescent="0.25">
      <c r="A4067" s="1"/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</row>
    <row r="4068" spans="1:19" x14ac:dyDescent="0.25">
      <c r="A4068" s="1"/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</row>
    <row r="4069" spans="1:19" x14ac:dyDescent="0.25">
      <c r="A4069" s="1"/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</row>
    <row r="4070" spans="1:19" x14ac:dyDescent="0.25">
      <c r="A4070" s="1"/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</row>
    <row r="4071" spans="1:19" x14ac:dyDescent="0.25">
      <c r="A4071" s="1"/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</row>
    <row r="4072" spans="1:19" x14ac:dyDescent="0.25">
      <c r="A4072" s="1"/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</row>
    <row r="4073" spans="1:19" x14ac:dyDescent="0.25">
      <c r="A4073" s="1"/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</row>
    <row r="4074" spans="1:19" x14ac:dyDescent="0.25">
      <c r="A4074" s="1"/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</row>
    <row r="4075" spans="1:19" x14ac:dyDescent="0.25">
      <c r="A4075" s="1"/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</row>
    <row r="4076" spans="1:19" x14ac:dyDescent="0.25">
      <c r="A4076" s="1"/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</row>
    <row r="4077" spans="1:19" x14ac:dyDescent="0.25">
      <c r="A4077" s="1"/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</row>
    <row r="4078" spans="1:19" x14ac:dyDescent="0.25">
      <c r="A4078" s="1"/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</row>
    <row r="4079" spans="1:19" x14ac:dyDescent="0.25">
      <c r="A4079" s="1"/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</row>
    <row r="4080" spans="1:19" x14ac:dyDescent="0.25">
      <c r="A4080" s="1"/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</row>
    <row r="4081" spans="1:19" x14ac:dyDescent="0.25">
      <c r="A4081" s="1"/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</row>
    <row r="4082" spans="1:19" x14ac:dyDescent="0.25">
      <c r="A4082" s="1"/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</row>
    <row r="4083" spans="1:19" x14ac:dyDescent="0.25">
      <c r="A4083" s="1"/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</row>
    <row r="4084" spans="1:19" x14ac:dyDescent="0.25">
      <c r="A4084" s="1"/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</row>
    <row r="4085" spans="1:19" x14ac:dyDescent="0.25">
      <c r="A4085" s="1"/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</row>
    <row r="4086" spans="1:19" x14ac:dyDescent="0.25">
      <c r="A4086" s="1"/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</row>
    <row r="4087" spans="1:19" x14ac:dyDescent="0.25">
      <c r="A4087" s="1"/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</row>
    <row r="4088" spans="1:19" x14ac:dyDescent="0.25">
      <c r="A4088" s="1"/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</row>
    <row r="4089" spans="1:19" x14ac:dyDescent="0.25">
      <c r="A4089" s="1"/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</row>
    <row r="4090" spans="1:19" x14ac:dyDescent="0.25">
      <c r="A4090" s="1"/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</row>
    <row r="4091" spans="1:19" x14ac:dyDescent="0.25">
      <c r="A4091" s="1"/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</row>
    <row r="4092" spans="1:19" x14ac:dyDescent="0.25">
      <c r="A4092" s="1"/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</row>
    <row r="4093" spans="1:19" x14ac:dyDescent="0.25">
      <c r="A4093" s="1"/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</row>
    <row r="4094" spans="1:19" x14ac:dyDescent="0.25">
      <c r="A4094" s="1"/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</row>
    <row r="4095" spans="1:19" x14ac:dyDescent="0.25">
      <c r="A4095" s="1"/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</row>
    <row r="4096" spans="1:19" x14ac:dyDescent="0.25">
      <c r="A4096" s="1"/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</row>
    <row r="4097" spans="1:19" x14ac:dyDescent="0.25">
      <c r="A4097" s="1"/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</row>
    <row r="4098" spans="1:19" x14ac:dyDescent="0.25">
      <c r="A4098" s="1"/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</row>
    <row r="4099" spans="1:19" x14ac:dyDescent="0.25">
      <c r="A4099" s="1"/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</row>
    <row r="4100" spans="1:19" x14ac:dyDescent="0.25">
      <c r="A4100" s="1"/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</row>
    <row r="4101" spans="1:19" x14ac:dyDescent="0.25">
      <c r="A4101" s="1"/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</row>
    <row r="4102" spans="1:19" x14ac:dyDescent="0.25">
      <c r="A4102" s="1"/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</row>
    <row r="4103" spans="1:19" x14ac:dyDescent="0.25">
      <c r="A4103" s="1"/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</row>
    <row r="4104" spans="1:19" x14ac:dyDescent="0.25">
      <c r="A4104" s="1"/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</row>
    <row r="4105" spans="1:19" x14ac:dyDescent="0.25">
      <c r="A4105" s="1"/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</row>
    <row r="4106" spans="1:19" x14ac:dyDescent="0.25">
      <c r="A4106" s="1"/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</row>
    <row r="4107" spans="1:19" x14ac:dyDescent="0.25">
      <c r="A4107" s="1"/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</row>
    <row r="4108" spans="1:19" x14ac:dyDescent="0.25">
      <c r="A4108" s="1"/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</row>
    <row r="4109" spans="1:19" x14ac:dyDescent="0.25">
      <c r="A4109" s="1"/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</row>
    <row r="4110" spans="1:19" x14ac:dyDescent="0.25">
      <c r="A4110" s="1"/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</row>
    <row r="4111" spans="1:19" x14ac:dyDescent="0.25">
      <c r="A4111" s="1"/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</row>
    <row r="4112" spans="1:19" x14ac:dyDescent="0.25">
      <c r="A4112" s="1"/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</row>
    <row r="4113" spans="1:19" x14ac:dyDescent="0.25">
      <c r="A4113" s="1"/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</row>
    <row r="4114" spans="1:19" x14ac:dyDescent="0.25">
      <c r="A4114" s="1"/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</row>
    <row r="4115" spans="1:19" x14ac:dyDescent="0.25">
      <c r="A4115" s="1"/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</row>
    <row r="4116" spans="1:19" x14ac:dyDescent="0.25">
      <c r="A4116" s="1"/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</row>
    <row r="4117" spans="1:19" x14ac:dyDescent="0.25">
      <c r="A4117" s="1"/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</row>
    <row r="4118" spans="1:19" x14ac:dyDescent="0.25">
      <c r="A4118" s="1"/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</row>
    <row r="4119" spans="1:19" x14ac:dyDescent="0.25">
      <c r="A4119" s="1"/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</row>
    <row r="4120" spans="1:19" x14ac:dyDescent="0.25">
      <c r="A4120" s="1"/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</row>
    <row r="4121" spans="1:19" x14ac:dyDescent="0.25">
      <c r="A4121" s="1"/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</row>
    <row r="4122" spans="1:19" x14ac:dyDescent="0.25">
      <c r="A4122" s="1"/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</row>
    <row r="4123" spans="1:19" x14ac:dyDescent="0.25">
      <c r="A4123" s="1"/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</row>
    <row r="4124" spans="1:19" x14ac:dyDescent="0.25">
      <c r="A4124" s="1"/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</row>
    <row r="4125" spans="1:19" x14ac:dyDescent="0.25">
      <c r="A4125" s="1"/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</row>
    <row r="4126" spans="1:19" x14ac:dyDescent="0.25">
      <c r="A4126" s="1"/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</row>
    <row r="4127" spans="1:19" x14ac:dyDescent="0.25">
      <c r="A4127" s="1"/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</row>
    <row r="4128" spans="1:19" x14ac:dyDescent="0.25">
      <c r="A4128" s="1"/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</row>
    <row r="4129" spans="1:19" x14ac:dyDescent="0.25">
      <c r="A4129" s="1"/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</row>
    <row r="4130" spans="1:19" x14ac:dyDescent="0.25">
      <c r="A4130" s="1"/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</row>
    <row r="4131" spans="1:19" x14ac:dyDescent="0.25">
      <c r="A4131" s="1"/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</row>
    <row r="4132" spans="1:19" x14ac:dyDescent="0.25">
      <c r="A4132" s="1"/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</row>
    <row r="4133" spans="1:19" x14ac:dyDescent="0.25">
      <c r="A4133" s="1"/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</row>
    <row r="4134" spans="1:19" x14ac:dyDescent="0.25">
      <c r="A4134" s="1"/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</row>
    <row r="4135" spans="1:19" x14ac:dyDescent="0.25">
      <c r="A4135" s="1"/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</row>
    <row r="4136" spans="1:19" x14ac:dyDescent="0.25">
      <c r="A4136" s="1"/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</row>
    <row r="4137" spans="1:19" x14ac:dyDescent="0.25">
      <c r="A4137" s="1"/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</row>
    <row r="4138" spans="1:19" x14ac:dyDescent="0.25">
      <c r="A4138" s="1"/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</row>
    <row r="4139" spans="1:19" x14ac:dyDescent="0.25">
      <c r="A4139" s="1"/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</row>
    <row r="4140" spans="1:19" x14ac:dyDescent="0.25">
      <c r="A4140" s="1"/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</row>
    <row r="4141" spans="1:19" x14ac:dyDescent="0.25">
      <c r="A4141" s="1"/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</row>
    <row r="4142" spans="1:19" x14ac:dyDescent="0.25">
      <c r="A4142" s="1"/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</row>
    <row r="4143" spans="1:19" x14ac:dyDescent="0.25">
      <c r="A4143" s="1"/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</row>
    <row r="4144" spans="1:19" x14ac:dyDescent="0.25">
      <c r="A4144" s="1"/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</row>
    <row r="4145" spans="1:19" x14ac:dyDescent="0.25">
      <c r="A4145" s="1"/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</row>
    <row r="4146" spans="1:19" x14ac:dyDescent="0.25">
      <c r="A4146" s="1"/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</row>
    <row r="4147" spans="1:19" x14ac:dyDescent="0.25">
      <c r="A4147" s="1"/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</row>
    <row r="4148" spans="1:19" x14ac:dyDescent="0.25">
      <c r="A4148" s="1"/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</row>
    <row r="4149" spans="1:19" x14ac:dyDescent="0.25">
      <c r="A4149" s="1"/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</row>
    <row r="4150" spans="1:19" x14ac:dyDescent="0.25">
      <c r="A4150" s="1"/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</row>
    <row r="4151" spans="1:19" x14ac:dyDescent="0.25">
      <c r="A4151" s="1"/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</row>
    <row r="4152" spans="1:19" x14ac:dyDescent="0.25">
      <c r="A4152" s="1"/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</row>
    <row r="4153" spans="1:19" x14ac:dyDescent="0.25">
      <c r="A4153" s="1"/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</row>
    <row r="4154" spans="1:19" x14ac:dyDescent="0.25">
      <c r="A4154" s="1"/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</row>
    <row r="4155" spans="1:19" x14ac:dyDescent="0.25">
      <c r="A4155" s="1"/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</row>
    <row r="4156" spans="1:19" x14ac:dyDescent="0.25">
      <c r="A4156" s="1"/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</row>
    <row r="4157" spans="1:19" x14ac:dyDescent="0.25">
      <c r="A4157" s="1"/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</row>
    <row r="4158" spans="1:19" x14ac:dyDescent="0.25">
      <c r="A4158" s="1"/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</row>
    <row r="4159" spans="1:19" x14ac:dyDescent="0.25">
      <c r="A4159" s="1"/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</row>
    <row r="4160" spans="1:19" x14ac:dyDescent="0.25">
      <c r="A4160" s="1"/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</row>
    <row r="4161" spans="1:19" x14ac:dyDescent="0.25">
      <c r="A4161" s="1"/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</row>
    <row r="4162" spans="1:19" x14ac:dyDescent="0.25">
      <c r="A4162" s="1"/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</row>
    <row r="4163" spans="1:19" x14ac:dyDescent="0.25">
      <c r="A4163" s="1"/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</row>
    <row r="4164" spans="1:19" x14ac:dyDescent="0.25">
      <c r="A4164" s="1"/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</row>
    <row r="4165" spans="1:19" x14ac:dyDescent="0.25">
      <c r="A4165" s="1"/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</row>
    <row r="4166" spans="1:19" x14ac:dyDescent="0.25">
      <c r="A4166" s="1"/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</row>
    <row r="4167" spans="1:19" x14ac:dyDescent="0.25">
      <c r="A4167" s="1"/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</row>
    <row r="4168" spans="1:19" x14ac:dyDescent="0.25">
      <c r="A4168" s="1"/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</row>
    <row r="4169" spans="1:19" x14ac:dyDescent="0.25">
      <c r="A4169" s="1"/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</row>
    <row r="4170" spans="1:19" x14ac:dyDescent="0.25">
      <c r="A4170" s="1"/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</row>
    <row r="4171" spans="1:19" x14ac:dyDescent="0.25">
      <c r="A4171" s="1"/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</row>
    <row r="4172" spans="1:19" x14ac:dyDescent="0.25">
      <c r="A4172" s="1"/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</row>
    <row r="4173" spans="1:19" x14ac:dyDescent="0.25">
      <c r="A4173" s="1"/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</row>
    <row r="4174" spans="1:19" x14ac:dyDescent="0.25">
      <c r="A4174" s="1"/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</row>
    <row r="4175" spans="1:19" x14ac:dyDescent="0.25">
      <c r="A4175" s="1"/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</row>
    <row r="4176" spans="1:19" x14ac:dyDescent="0.25">
      <c r="A4176" s="1"/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</row>
    <row r="4177" spans="1:19" x14ac:dyDescent="0.25">
      <c r="A4177" s="1"/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</row>
    <row r="4178" spans="1:19" x14ac:dyDescent="0.25">
      <c r="A4178" s="1"/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</row>
    <row r="4179" spans="1:19" x14ac:dyDescent="0.25">
      <c r="A4179" s="1"/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</row>
    <row r="4180" spans="1:19" x14ac:dyDescent="0.25">
      <c r="A4180" s="1"/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</row>
    <row r="4181" spans="1:19" x14ac:dyDescent="0.25">
      <c r="A4181" s="1"/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</row>
    <row r="4182" spans="1:19" x14ac:dyDescent="0.25">
      <c r="A4182" s="1"/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</row>
    <row r="4183" spans="1:19" x14ac:dyDescent="0.25">
      <c r="A4183" s="1"/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</row>
    <row r="4184" spans="1:19" x14ac:dyDescent="0.25">
      <c r="A4184" s="1"/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</row>
    <row r="4185" spans="1:19" x14ac:dyDescent="0.25">
      <c r="A4185" s="1"/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</row>
    <row r="4186" spans="1:19" x14ac:dyDescent="0.25">
      <c r="A4186" s="1"/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</row>
    <row r="4187" spans="1:19" x14ac:dyDescent="0.25">
      <c r="A4187" s="1"/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</row>
    <row r="4188" spans="1:19" x14ac:dyDescent="0.25">
      <c r="A4188" s="1"/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</row>
    <row r="4189" spans="1:19" x14ac:dyDescent="0.25">
      <c r="A4189" s="1"/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</row>
    <row r="4190" spans="1:19" x14ac:dyDescent="0.25">
      <c r="A4190" s="1"/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</row>
    <row r="4191" spans="1:19" x14ac:dyDescent="0.25">
      <c r="A4191" s="1"/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</row>
    <row r="4192" spans="1:19" x14ac:dyDescent="0.25">
      <c r="A4192" s="1"/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</row>
    <row r="4193" spans="1:19" x14ac:dyDescent="0.25">
      <c r="A4193" s="1"/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</row>
    <row r="4194" spans="1:19" x14ac:dyDescent="0.25">
      <c r="A4194" s="1"/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</row>
    <row r="4195" spans="1:19" x14ac:dyDescent="0.25">
      <c r="A4195" s="1"/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</row>
    <row r="4196" spans="1:19" x14ac:dyDescent="0.25">
      <c r="A4196" s="1"/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</row>
    <row r="4197" spans="1:19" x14ac:dyDescent="0.25">
      <c r="A4197" s="1"/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</row>
    <row r="4198" spans="1:19" x14ac:dyDescent="0.25">
      <c r="A4198" s="1"/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</row>
    <row r="4199" spans="1:19" x14ac:dyDescent="0.25">
      <c r="A4199" s="1"/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</row>
    <row r="4200" spans="1:19" x14ac:dyDescent="0.25">
      <c r="A4200" s="1"/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</row>
    <row r="4201" spans="1:19" x14ac:dyDescent="0.25">
      <c r="A4201" s="1"/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</row>
    <row r="4202" spans="1:19" x14ac:dyDescent="0.25">
      <c r="A4202" s="1"/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</row>
    <row r="4203" spans="1:19" x14ac:dyDescent="0.25">
      <c r="A4203" s="1"/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</row>
    <row r="4204" spans="1:19" x14ac:dyDescent="0.25">
      <c r="A4204" s="1"/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</row>
    <row r="4205" spans="1:19" x14ac:dyDescent="0.25">
      <c r="A4205" s="1"/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</row>
    <row r="4206" spans="1:19" x14ac:dyDescent="0.25">
      <c r="A4206" s="1"/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</row>
    <row r="4207" spans="1:19" x14ac:dyDescent="0.25">
      <c r="A4207" s="1"/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</row>
    <row r="4208" spans="1:19" x14ac:dyDescent="0.25">
      <c r="A4208" s="1"/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</row>
    <row r="4209" spans="1:19" x14ac:dyDescent="0.25">
      <c r="A4209" s="1"/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</row>
    <row r="4210" spans="1:19" x14ac:dyDescent="0.25">
      <c r="A4210" s="1"/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</row>
    <row r="4211" spans="1:19" x14ac:dyDescent="0.25">
      <c r="A4211" s="1"/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</row>
    <row r="4212" spans="1:19" x14ac:dyDescent="0.25">
      <c r="A4212" s="1"/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</row>
    <row r="4213" spans="1:19" x14ac:dyDescent="0.25">
      <c r="A4213" s="1"/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</row>
    <row r="4214" spans="1:19" x14ac:dyDescent="0.25">
      <c r="A4214" s="1"/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</row>
    <row r="4215" spans="1:19" x14ac:dyDescent="0.25">
      <c r="A4215" s="1"/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</row>
    <row r="4216" spans="1:19" x14ac:dyDescent="0.25">
      <c r="A4216" s="1"/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</row>
    <row r="4217" spans="1:19" x14ac:dyDescent="0.25">
      <c r="A4217" s="1"/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</row>
    <row r="4218" spans="1:19" x14ac:dyDescent="0.25">
      <c r="A4218" s="1"/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</row>
    <row r="4219" spans="1:19" x14ac:dyDescent="0.25">
      <c r="A4219" s="1"/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</row>
    <row r="4220" spans="1:19" x14ac:dyDescent="0.25">
      <c r="A4220" s="1"/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</row>
    <row r="4221" spans="1:19" x14ac:dyDescent="0.25">
      <c r="A4221" s="1"/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</row>
    <row r="4222" spans="1:19" x14ac:dyDescent="0.25">
      <c r="A4222" s="1"/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</row>
    <row r="4223" spans="1:19" x14ac:dyDescent="0.25">
      <c r="A4223" s="1"/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</row>
    <row r="4224" spans="1:19" x14ac:dyDescent="0.25">
      <c r="A4224" s="1"/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</row>
    <row r="4225" spans="1:19" x14ac:dyDescent="0.25">
      <c r="A4225" s="1"/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</row>
    <row r="4226" spans="1:19" x14ac:dyDescent="0.25">
      <c r="A4226" s="1"/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</row>
    <row r="4227" spans="1:19" x14ac:dyDescent="0.25">
      <c r="A4227" s="1"/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</row>
    <row r="4228" spans="1:19" x14ac:dyDescent="0.25">
      <c r="A4228" s="1"/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</row>
    <row r="4229" spans="1:19" x14ac:dyDescent="0.25">
      <c r="A4229" s="1"/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</row>
    <row r="4230" spans="1:19" x14ac:dyDescent="0.25">
      <c r="A4230" s="1"/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</row>
    <row r="4231" spans="1:19" x14ac:dyDescent="0.25">
      <c r="A4231" s="1"/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</row>
    <row r="4232" spans="1:19" x14ac:dyDescent="0.25">
      <c r="A4232" s="1"/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</row>
    <row r="4233" spans="1:19" x14ac:dyDescent="0.25">
      <c r="A4233" s="1"/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</row>
    <row r="4234" spans="1:19" x14ac:dyDescent="0.25">
      <c r="A4234" s="1"/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</row>
    <row r="4235" spans="1:19" x14ac:dyDescent="0.25">
      <c r="A4235" s="1"/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</row>
    <row r="4236" spans="1:19" x14ac:dyDescent="0.25">
      <c r="A4236" s="1"/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</row>
    <row r="4237" spans="1:19" x14ac:dyDescent="0.25">
      <c r="A4237" s="1"/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</row>
    <row r="4238" spans="1:19" x14ac:dyDescent="0.25">
      <c r="A4238" s="1"/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</row>
    <row r="4239" spans="1:19" x14ac:dyDescent="0.25">
      <c r="A4239" s="1"/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</row>
    <row r="4240" spans="1:19" x14ac:dyDescent="0.25">
      <c r="A4240" s="1"/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</row>
    <row r="4241" spans="1:19" x14ac:dyDescent="0.25">
      <c r="A4241" s="1"/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</row>
    <row r="4242" spans="1:19" x14ac:dyDescent="0.25">
      <c r="A4242" s="1"/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</row>
    <row r="4243" spans="1:19" x14ac:dyDescent="0.25">
      <c r="A4243" s="1"/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</row>
    <row r="4244" spans="1:19" x14ac:dyDescent="0.25">
      <c r="A4244" s="1"/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</row>
    <row r="4245" spans="1:19" x14ac:dyDescent="0.25">
      <c r="A4245" s="1"/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</row>
    <row r="4246" spans="1:19" x14ac:dyDescent="0.25">
      <c r="A4246" s="1"/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</row>
    <row r="4247" spans="1:19" x14ac:dyDescent="0.25">
      <c r="A4247" s="1"/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</row>
    <row r="4248" spans="1:19" x14ac:dyDescent="0.25">
      <c r="A4248" s="1"/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</row>
    <row r="4249" spans="1:19" x14ac:dyDescent="0.25">
      <c r="A4249" s="1"/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</row>
    <row r="4250" spans="1:19" x14ac:dyDescent="0.25">
      <c r="A4250" s="1"/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</row>
    <row r="4251" spans="1:19" x14ac:dyDescent="0.25">
      <c r="A4251" s="1"/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</row>
    <row r="4252" spans="1:19" x14ac:dyDescent="0.25">
      <c r="A4252" s="1"/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</row>
    <row r="4253" spans="1:19" x14ac:dyDescent="0.25">
      <c r="A4253" s="1"/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</row>
    <row r="4254" spans="1:19" x14ac:dyDescent="0.25">
      <c r="A4254" s="1"/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</row>
    <row r="4255" spans="1:19" x14ac:dyDescent="0.25">
      <c r="A4255" s="1"/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</row>
    <row r="4256" spans="1:19" x14ac:dyDescent="0.25">
      <c r="A4256" s="1"/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</row>
    <row r="4257" spans="1:19" x14ac:dyDescent="0.25">
      <c r="A4257" s="1"/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</row>
    <row r="4258" spans="1:19" x14ac:dyDescent="0.25">
      <c r="A4258" s="1"/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</row>
    <row r="4259" spans="1:19" x14ac:dyDescent="0.25">
      <c r="A4259" s="1"/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</row>
    <row r="4260" spans="1:19" x14ac:dyDescent="0.25">
      <c r="A4260" s="1"/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</row>
    <row r="4261" spans="1:19" x14ac:dyDescent="0.25">
      <c r="A4261" s="1"/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</row>
    <row r="4262" spans="1:19" x14ac:dyDescent="0.25">
      <c r="A4262" s="1"/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</row>
    <row r="4263" spans="1:19" x14ac:dyDescent="0.25">
      <c r="A4263" s="1"/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</row>
    <row r="4264" spans="1:19" x14ac:dyDescent="0.25">
      <c r="A4264" s="1"/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</row>
    <row r="4265" spans="1:19" x14ac:dyDescent="0.25">
      <c r="A4265" s="1"/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</row>
    <row r="4266" spans="1:19" x14ac:dyDescent="0.25">
      <c r="A4266" s="1"/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</row>
    <row r="4267" spans="1:19" x14ac:dyDescent="0.25">
      <c r="A4267" s="1"/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</row>
    <row r="4268" spans="1:19" x14ac:dyDescent="0.25">
      <c r="A4268" s="1"/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</row>
    <row r="4269" spans="1:19" x14ac:dyDescent="0.25">
      <c r="A4269" s="1"/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</row>
    <row r="4270" spans="1:19" x14ac:dyDescent="0.25">
      <c r="A4270" s="1"/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</row>
    <row r="4271" spans="1:19" x14ac:dyDescent="0.25">
      <c r="A4271" s="1"/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</row>
    <row r="4272" spans="1:19" x14ac:dyDescent="0.25">
      <c r="A4272" s="1"/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</row>
    <row r="4273" spans="1:19" x14ac:dyDescent="0.25">
      <c r="A4273" s="1"/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</row>
    <row r="4274" spans="1:19" x14ac:dyDescent="0.25">
      <c r="A4274" s="1"/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</row>
    <row r="4275" spans="1:19" x14ac:dyDescent="0.25">
      <c r="A4275" s="1"/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</row>
    <row r="4276" spans="1:19" x14ac:dyDescent="0.25">
      <c r="A4276" s="1"/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</row>
    <row r="4277" spans="1:19" x14ac:dyDescent="0.25">
      <c r="A4277" s="1"/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</row>
    <row r="4278" spans="1:19" x14ac:dyDescent="0.25">
      <c r="A4278" s="1"/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</row>
    <row r="4279" spans="1:19" x14ac:dyDescent="0.25">
      <c r="A4279" s="1"/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</row>
    <row r="4280" spans="1:19" x14ac:dyDescent="0.25">
      <c r="A4280" s="1"/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</row>
    <row r="4281" spans="1:19" x14ac:dyDescent="0.25">
      <c r="A4281" s="1"/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</row>
    <row r="4282" spans="1:19" x14ac:dyDescent="0.25">
      <c r="A4282" s="1"/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</row>
    <row r="4283" spans="1:19" x14ac:dyDescent="0.25">
      <c r="A4283" s="1"/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</row>
    <row r="4284" spans="1:19" x14ac:dyDescent="0.25">
      <c r="A4284" s="1"/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</row>
    <row r="4285" spans="1:19" x14ac:dyDescent="0.25">
      <c r="A4285" s="1"/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</row>
    <row r="4286" spans="1:19" x14ac:dyDescent="0.25">
      <c r="A4286" s="1"/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</row>
    <row r="4287" spans="1:19" x14ac:dyDescent="0.25">
      <c r="A4287" s="1"/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</row>
    <row r="4288" spans="1:19" x14ac:dyDescent="0.25">
      <c r="A4288" s="1"/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</row>
    <row r="4289" spans="1:19" x14ac:dyDescent="0.25">
      <c r="A4289" s="1"/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</row>
    <row r="4290" spans="1:19" x14ac:dyDescent="0.25">
      <c r="A4290" s="1"/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</row>
    <row r="4291" spans="1:19" x14ac:dyDescent="0.25">
      <c r="A4291" s="1"/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</row>
    <row r="4292" spans="1:19" x14ac:dyDescent="0.25">
      <c r="A4292" s="1"/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</row>
    <row r="4293" spans="1:19" x14ac:dyDescent="0.25">
      <c r="A4293" s="1"/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</row>
    <row r="4294" spans="1:19" x14ac:dyDescent="0.25">
      <c r="A4294" s="1"/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</row>
    <row r="4295" spans="1:19" x14ac:dyDescent="0.25">
      <c r="A4295" s="1"/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</row>
    <row r="4296" spans="1:19" x14ac:dyDescent="0.25">
      <c r="A4296" s="1"/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</row>
    <row r="4297" spans="1:19" x14ac:dyDescent="0.25">
      <c r="A4297" s="1"/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</row>
    <row r="4298" spans="1:19" x14ac:dyDescent="0.25">
      <c r="A4298" s="1"/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</row>
    <row r="4299" spans="1:19" x14ac:dyDescent="0.25">
      <c r="A4299" s="1"/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</row>
    <row r="4300" spans="1:19" x14ac:dyDescent="0.25">
      <c r="A4300" s="1"/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</row>
    <row r="4301" spans="1:19" x14ac:dyDescent="0.25">
      <c r="A4301" s="1"/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</row>
    <row r="4302" spans="1:19" x14ac:dyDescent="0.25">
      <c r="A4302" s="1"/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</row>
    <row r="4303" spans="1:19" x14ac:dyDescent="0.25">
      <c r="A4303" s="1"/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</row>
    <row r="4304" spans="1:19" x14ac:dyDescent="0.25">
      <c r="A4304" s="1"/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</row>
    <row r="4305" spans="1:19" x14ac:dyDescent="0.25">
      <c r="A4305" s="1"/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</row>
    <row r="4306" spans="1:19" x14ac:dyDescent="0.25">
      <c r="A4306" s="1"/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</row>
    <row r="4307" spans="1:19" x14ac:dyDescent="0.25">
      <c r="A4307" s="1"/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</row>
    <row r="4308" spans="1:19" x14ac:dyDescent="0.25">
      <c r="A4308" s="1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</row>
    <row r="4309" spans="1:19" x14ac:dyDescent="0.25">
      <c r="A4309" s="1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</row>
    <row r="4310" spans="1:19" x14ac:dyDescent="0.25">
      <c r="A4310" s="1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</row>
    <row r="4311" spans="1:19" x14ac:dyDescent="0.25">
      <c r="A4311" s="1"/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</row>
    <row r="4312" spans="1:19" x14ac:dyDescent="0.25">
      <c r="A4312" s="1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</row>
    <row r="4313" spans="1:19" x14ac:dyDescent="0.25">
      <c r="A4313" s="1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</row>
    <row r="4314" spans="1:19" x14ac:dyDescent="0.25">
      <c r="A4314" s="1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</row>
    <row r="4315" spans="1:19" x14ac:dyDescent="0.25">
      <c r="A4315" s="1"/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</row>
    <row r="4316" spans="1:19" x14ac:dyDescent="0.25">
      <c r="A4316" s="1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</row>
    <row r="4317" spans="1:19" x14ac:dyDescent="0.25">
      <c r="A4317" s="1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</row>
    <row r="4318" spans="1:19" x14ac:dyDescent="0.25">
      <c r="A4318" s="1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</row>
    <row r="4319" spans="1:19" x14ac:dyDescent="0.25">
      <c r="A4319" s="1"/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</row>
    <row r="4320" spans="1:19" x14ac:dyDescent="0.25">
      <c r="A4320" s="1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</row>
    <row r="4321" spans="1:19" x14ac:dyDescent="0.25">
      <c r="A4321" s="1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</row>
    <row r="4322" spans="1:19" x14ac:dyDescent="0.25">
      <c r="A4322" s="1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</row>
    <row r="4323" spans="1:19" x14ac:dyDescent="0.25">
      <c r="A4323" s="1"/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</row>
    <row r="4324" spans="1:19" x14ac:dyDescent="0.25">
      <c r="A4324" s="1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</row>
    <row r="4325" spans="1:19" x14ac:dyDescent="0.25">
      <c r="A4325" s="1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</row>
    <row r="4326" spans="1:19" x14ac:dyDescent="0.25">
      <c r="A4326" s="1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</row>
    <row r="4327" spans="1:19" x14ac:dyDescent="0.25">
      <c r="A4327" s="1"/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</row>
    <row r="4328" spans="1:19" x14ac:dyDescent="0.25">
      <c r="A4328" s="1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</row>
    <row r="4329" spans="1:19" x14ac:dyDescent="0.25">
      <c r="A4329" s="1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</row>
    <row r="4330" spans="1:19" x14ac:dyDescent="0.25">
      <c r="A4330" s="1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</row>
    <row r="4331" spans="1:19" x14ac:dyDescent="0.25">
      <c r="A4331" s="1"/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</row>
    <row r="4332" spans="1:19" x14ac:dyDescent="0.25">
      <c r="A4332" s="1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</row>
    <row r="4333" spans="1:19" x14ac:dyDescent="0.25">
      <c r="A4333" s="1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</row>
    <row r="4334" spans="1:19" x14ac:dyDescent="0.25">
      <c r="A4334" s="1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</row>
    <row r="4335" spans="1:19" x14ac:dyDescent="0.25">
      <c r="A4335" s="1"/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</row>
    <row r="4336" spans="1:19" x14ac:dyDescent="0.25">
      <c r="A4336" s="1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</row>
    <row r="4337" spans="1:19" x14ac:dyDescent="0.25">
      <c r="A4337" s="1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</row>
    <row r="4338" spans="1:19" x14ac:dyDescent="0.25">
      <c r="A4338" s="1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</row>
    <row r="4339" spans="1:19" x14ac:dyDescent="0.25">
      <c r="A4339" s="1"/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</row>
    <row r="4340" spans="1:19" x14ac:dyDescent="0.25">
      <c r="A4340" s="1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</row>
    <row r="4341" spans="1:19" x14ac:dyDescent="0.25">
      <c r="A4341" s="1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</row>
    <row r="4342" spans="1:19" x14ac:dyDescent="0.25">
      <c r="A4342" s="1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</row>
    <row r="4343" spans="1:19" x14ac:dyDescent="0.25">
      <c r="A4343" s="1"/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</row>
    <row r="4344" spans="1:19" x14ac:dyDescent="0.25">
      <c r="A4344" s="1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</row>
    <row r="4345" spans="1:19" x14ac:dyDescent="0.25">
      <c r="A4345" s="1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</row>
    <row r="4346" spans="1:19" x14ac:dyDescent="0.25">
      <c r="A4346" s="1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</row>
    <row r="4347" spans="1:19" x14ac:dyDescent="0.25">
      <c r="A4347" s="1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</row>
    <row r="4348" spans="1:19" x14ac:dyDescent="0.25">
      <c r="A4348" s="1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</row>
    <row r="4349" spans="1:19" x14ac:dyDescent="0.25">
      <c r="A4349" s="1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</row>
    <row r="4350" spans="1:19" x14ac:dyDescent="0.25">
      <c r="A4350" s="1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</row>
    <row r="4351" spans="1:19" x14ac:dyDescent="0.25">
      <c r="A4351" s="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</row>
    <row r="4352" spans="1:19" x14ac:dyDescent="0.25">
      <c r="A4352" s="1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</row>
    <row r="4353" spans="1:19" x14ac:dyDescent="0.25">
      <c r="A4353" s="1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</row>
    <row r="4354" spans="1:19" x14ac:dyDescent="0.25">
      <c r="A4354" s="1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</row>
    <row r="4355" spans="1:19" x14ac:dyDescent="0.25">
      <c r="A4355" s="1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</row>
    <row r="4356" spans="1:19" x14ac:dyDescent="0.25">
      <c r="A4356" s="1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</row>
    <row r="4357" spans="1:19" x14ac:dyDescent="0.25">
      <c r="A4357" s="1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</row>
    <row r="4358" spans="1:19" x14ac:dyDescent="0.25">
      <c r="A4358" s="1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</row>
    <row r="4359" spans="1:19" x14ac:dyDescent="0.25">
      <c r="A4359" s="1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</row>
    <row r="4360" spans="1:19" x14ac:dyDescent="0.25">
      <c r="A4360" s="1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</row>
    <row r="4361" spans="1:19" x14ac:dyDescent="0.25">
      <c r="A4361" s="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</row>
    <row r="4362" spans="1:19" x14ac:dyDescent="0.25">
      <c r="A4362" s="1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</row>
    <row r="4363" spans="1:19" x14ac:dyDescent="0.25">
      <c r="A4363" s="1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</row>
    <row r="4364" spans="1:19" x14ac:dyDescent="0.25">
      <c r="A4364" s="1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</row>
    <row r="4365" spans="1:19" x14ac:dyDescent="0.25">
      <c r="A4365" s="1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</row>
    <row r="4366" spans="1:19" x14ac:dyDescent="0.25">
      <c r="A4366" s="1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</row>
    <row r="4367" spans="1:19" x14ac:dyDescent="0.25">
      <c r="A4367" s="1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</row>
    <row r="4368" spans="1:19" x14ac:dyDescent="0.25">
      <c r="A4368" s="1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</row>
    <row r="4369" spans="1:19" x14ac:dyDescent="0.25">
      <c r="A4369" s="1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</row>
    <row r="4370" spans="1:19" x14ac:dyDescent="0.25">
      <c r="A4370" s="1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</row>
    <row r="4371" spans="1:19" x14ac:dyDescent="0.25">
      <c r="A4371" s="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</row>
    <row r="4372" spans="1:19" x14ac:dyDescent="0.25">
      <c r="A4372" s="1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</row>
    <row r="4373" spans="1:19" x14ac:dyDescent="0.25">
      <c r="A4373" s="1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</row>
    <row r="4374" spans="1:19" x14ac:dyDescent="0.25">
      <c r="A4374" s="1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</row>
    <row r="4375" spans="1:19" x14ac:dyDescent="0.25">
      <c r="A4375" s="1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</row>
    <row r="4376" spans="1:19" x14ac:dyDescent="0.25">
      <c r="A4376" s="1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</row>
    <row r="4377" spans="1:19" x14ac:dyDescent="0.25">
      <c r="A4377" s="1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</row>
    <row r="4378" spans="1:19" x14ac:dyDescent="0.25">
      <c r="A4378" s="1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</row>
    <row r="4379" spans="1:19" x14ac:dyDescent="0.25">
      <c r="A4379" s="1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</row>
    <row r="4380" spans="1:19" x14ac:dyDescent="0.25">
      <c r="A4380" s="1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</row>
    <row r="4381" spans="1:19" x14ac:dyDescent="0.25">
      <c r="A4381" s="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</row>
    <row r="4382" spans="1:19" x14ac:dyDescent="0.25">
      <c r="A4382" s="1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</row>
    <row r="4383" spans="1:19" x14ac:dyDescent="0.25">
      <c r="A4383" s="1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</row>
    <row r="4384" spans="1:19" x14ac:dyDescent="0.25">
      <c r="A4384" s="1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</row>
    <row r="4385" spans="1:19" x14ac:dyDescent="0.25">
      <c r="A4385" s="1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</row>
    <row r="4386" spans="1:19" x14ac:dyDescent="0.25">
      <c r="A4386" s="1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</row>
    <row r="4387" spans="1:19" x14ac:dyDescent="0.25">
      <c r="A4387" s="1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</row>
    <row r="4388" spans="1:19" x14ac:dyDescent="0.25">
      <c r="A4388" s="1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</row>
    <row r="4389" spans="1:19" x14ac:dyDescent="0.25">
      <c r="A4389" s="1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</row>
    <row r="4390" spans="1:19" x14ac:dyDescent="0.25">
      <c r="A4390" s="1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</row>
    <row r="4391" spans="1:19" x14ac:dyDescent="0.25">
      <c r="A4391" s="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</row>
    <row r="4392" spans="1:19" x14ac:dyDescent="0.25">
      <c r="A4392" s="1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</row>
    <row r="4393" spans="1:19" x14ac:dyDescent="0.25">
      <c r="A4393" s="1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</row>
    <row r="4394" spans="1:19" x14ac:dyDescent="0.25">
      <c r="A4394" s="1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</row>
    <row r="4395" spans="1:19" x14ac:dyDescent="0.25">
      <c r="A4395" s="1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</row>
    <row r="4396" spans="1:19" x14ac:dyDescent="0.25">
      <c r="A4396" s="1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</row>
    <row r="4397" spans="1:19" x14ac:dyDescent="0.25">
      <c r="A4397" s="1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</row>
    <row r="4398" spans="1:19" x14ac:dyDescent="0.25">
      <c r="A4398" s="1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</row>
    <row r="4399" spans="1:19" x14ac:dyDescent="0.25">
      <c r="A4399" s="1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</row>
    <row r="4400" spans="1:19" x14ac:dyDescent="0.25">
      <c r="A4400" s="1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</row>
    <row r="4401" spans="1:19" x14ac:dyDescent="0.25">
      <c r="A4401" s="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</row>
    <row r="4402" spans="1:19" x14ac:dyDescent="0.25">
      <c r="A4402" s="1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</row>
    <row r="4403" spans="1:19" x14ac:dyDescent="0.25">
      <c r="A4403" s="1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</row>
    <row r="4404" spans="1:19" x14ac:dyDescent="0.25">
      <c r="A4404" s="1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</row>
    <row r="4405" spans="1:19" x14ac:dyDescent="0.25">
      <c r="A4405" s="1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</row>
    <row r="4406" spans="1:19" x14ac:dyDescent="0.25">
      <c r="A4406" s="1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</row>
    <row r="4407" spans="1:19" x14ac:dyDescent="0.25">
      <c r="A4407" s="1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</row>
    <row r="4408" spans="1:19" x14ac:dyDescent="0.25">
      <c r="A4408" s="1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</row>
    <row r="4409" spans="1:19" x14ac:dyDescent="0.25">
      <c r="A4409" s="1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</row>
    <row r="4410" spans="1:19" x14ac:dyDescent="0.25">
      <c r="A4410" s="1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</row>
    <row r="4411" spans="1:19" x14ac:dyDescent="0.25">
      <c r="A4411" s="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</row>
    <row r="4412" spans="1:19" x14ac:dyDescent="0.25">
      <c r="A4412" s="1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</row>
    <row r="4413" spans="1:19" x14ac:dyDescent="0.25">
      <c r="A4413" s="1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</row>
    <row r="4414" spans="1:19" x14ac:dyDescent="0.25">
      <c r="A4414" s="1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</row>
    <row r="4415" spans="1:19" x14ac:dyDescent="0.25">
      <c r="A4415" s="1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</row>
    <row r="4416" spans="1:19" x14ac:dyDescent="0.25">
      <c r="A4416" s="1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</row>
    <row r="4417" spans="1:19" x14ac:dyDescent="0.25">
      <c r="A4417" s="1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</row>
    <row r="4418" spans="1:19" x14ac:dyDescent="0.25">
      <c r="A4418" s="1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</row>
    <row r="4419" spans="1:19" x14ac:dyDescent="0.25">
      <c r="A4419" s="1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</row>
    <row r="4420" spans="1:19" x14ac:dyDescent="0.25">
      <c r="A4420" s="1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</row>
    <row r="4421" spans="1:19" x14ac:dyDescent="0.25">
      <c r="A4421" s="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</row>
    <row r="4422" spans="1:19" x14ac:dyDescent="0.25">
      <c r="A4422" s="1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</row>
    <row r="4423" spans="1:19" x14ac:dyDescent="0.25">
      <c r="A4423" s="1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</row>
    <row r="4424" spans="1:19" x14ac:dyDescent="0.25">
      <c r="A4424" s="1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</row>
    <row r="4425" spans="1:19" x14ac:dyDescent="0.25">
      <c r="A4425" s="1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</row>
    <row r="4426" spans="1:19" x14ac:dyDescent="0.25">
      <c r="A4426" s="1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</row>
    <row r="4427" spans="1:19" x14ac:dyDescent="0.25">
      <c r="A4427" s="1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</row>
    <row r="4428" spans="1:19" x14ac:dyDescent="0.25">
      <c r="A4428" s="1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</row>
    <row r="4429" spans="1:19" x14ac:dyDescent="0.25">
      <c r="A4429" s="1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</row>
    <row r="4430" spans="1:19" x14ac:dyDescent="0.25">
      <c r="A4430" s="1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</row>
    <row r="4431" spans="1:19" x14ac:dyDescent="0.25">
      <c r="A4431" s="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</row>
    <row r="4432" spans="1:19" x14ac:dyDescent="0.25">
      <c r="A4432" s="1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</row>
    <row r="4433" spans="1:19" x14ac:dyDescent="0.25">
      <c r="A4433" s="1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</row>
    <row r="4434" spans="1:19" x14ac:dyDescent="0.25">
      <c r="A4434" s="1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</row>
    <row r="4435" spans="1:19" x14ac:dyDescent="0.25">
      <c r="A4435" s="1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</row>
    <row r="4436" spans="1:19" x14ac:dyDescent="0.25">
      <c r="A4436" s="1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</row>
    <row r="4437" spans="1:19" x14ac:dyDescent="0.25">
      <c r="A4437" s="1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</row>
    <row r="4438" spans="1:19" x14ac:dyDescent="0.25">
      <c r="A4438" s="1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</row>
    <row r="4439" spans="1:19" x14ac:dyDescent="0.25">
      <c r="A4439" s="1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</row>
    <row r="4440" spans="1:19" x14ac:dyDescent="0.25">
      <c r="A4440" s="1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</row>
    <row r="4441" spans="1:19" x14ac:dyDescent="0.25">
      <c r="A4441" s="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</row>
    <row r="4442" spans="1:19" x14ac:dyDescent="0.25">
      <c r="A4442" s="1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</row>
    <row r="4443" spans="1:19" x14ac:dyDescent="0.25">
      <c r="A4443" s="1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</row>
    <row r="4444" spans="1:19" x14ac:dyDescent="0.25">
      <c r="A4444" s="1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</row>
    <row r="4445" spans="1:19" x14ac:dyDescent="0.25">
      <c r="A4445" s="1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</row>
    <row r="4446" spans="1:19" x14ac:dyDescent="0.25">
      <c r="A4446" s="1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</row>
    <row r="4447" spans="1:19" x14ac:dyDescent="0.25">
      <c r="A4447" s="1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</row>
    <row r="4448" spans="1:19" x14ac:dyDescent="0.25">
      <c r="A4448" s="1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</row>
    <row r="4449" spans="1:19" x14ac:dyDescent="0.25">
      <c r="A4449" s="1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</row>
    <row r="4450" spans="1:19" x14ac:dyDescent="0.25">
      <c r="A4450" s="1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</row>
    <row r="4451" spans="1:19" x14ac:dyDescent="0.25">
      <c r="A4451" s="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</row>
    <row r="4452" spans="1:19" x14ac:dyDescent="0.25">
      <c r="A4452" s="1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</row>
    <row r="4453" spans="1:19" x14ac:dyDescent="0.25">
      <c r="A4453" s="1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</row>
    <row r="4454" spans="1:19" x14ac:dyDescent="0.25">
      <c r="A4454" s="1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</row>
    <row r="4455" spans="1:19" x14ac:dyDescent="0.25">
      <c r="A4455" s="1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</row>
    <row r="4456" spans="1:19" x14ac:dyDescent="0.25">
      <c r="A4456" s="1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</row>
    <row r="4457" spans="1:19" x14ac:dyDescent="0.25">
      <c r="A4457" s="1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</row>
    <row r="4458" spans="1:19" x14ac:dyDescent="0.25">
      <c r="A4458" s="1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</row>
    <row r="4459" spans="1:19" x14ac:dyDescent="0.25">
      <c r="A4459" s="1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</row>
    <row r="4460" spans="1:19" x14ac:dyDescent="0.25">
      <c r="A4460" s="1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</row>
    <row r="4461" spans="1:19" x14ac:dyDescent="0.25">
      <c r="A4461" s="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</row>
    <row r="4462" spans="1:19" x14ac:dyDescent="0.25">
      <c r="A4462" s="1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</row>
    <row r="4463" spans="1:19" x14ac:dyDescent="0.25">
      <c r="A4463" s="1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</row>
    <row r="4464" spans="1:19" x14ac:dyDescent="0.25">
      <c r="A4464" s="1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</row>
    <row r="4465" spans="1:19" x14ac:dyDescent="0.25">
      <c r="A4465" s="1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</row>
    <row r="4466" spans="1:19" x14ac:dyDescent="0.25">
      <c r="A4466" s="1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</row>
    <row r="4467" spans="1:19" x14ac:dyDescent="0.25">
      <c r="A4467" s="1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</row>
    <row r="4468" spans="1:19" x14ac:dyDescent="0.25">
      <c r="A4468" s="1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</row>
    <row r="4469" spans="1:19" x14ac:dyDescent="0.25">
      <c r="A4469" s="1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</row>
    <row r="4470" spans="1:19" x14ac:dyDescent="0.25">
      <c r="A4470" s="1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</row>
    <row r="4471" spans="1:19" x14ac:dyDescent="0.25">
      <c r="A4471" s="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</row>
    <row r="4472" spans="1:19" x14ac:dyDescent="0.25">
      <c r="A4472" s="1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</row>
    <row r="4473" spans="1:19" x14ac:dyDescent="0.25">
      <c r="A4473" s="1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</row>
    <row r="4474" spans="1:19" x14ac:dyDescent="0.25">
      <c r="A4474" s="1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</row>
    <row r="4475" spans="1:19" x14ac:dyDescent="0.25">
      <c r="A4475" s="1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</row>
    <row r="4476" spans="1:19" x14ac:dyDescent="0.25">
      <c r="A4476" s="1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</row>
    <row r="4477" spans="1:19" x14ac:dyDescent="0.25">
      <c r="A4477" s="1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</row>
    <row r="4478" spans="1:19" x14ac:dyDescent="0.25">
      <c r="A4478" s="1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</row>
    <row r="4479" spans="1:19" x14ac:dyDescent="0.25">
      <c r="A4479" s="1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</row>
    <row r="4480" spans="1:19" x14ac:dyDescent="0.25">
      <c r="A4480" s="1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</row>
    <row r="4481" spans="1:19" x14ac:dyDescent="0.25">
      <c r="A4481" s="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</row>
    <row r="4482" spans="1:19" x14ac:dyDescent="0.25">
      <c r="A4482" s="1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</row>
    <row r="4483" spans="1:19" x14ac:dyDescent="0.25">
      <c r="A4483" s="1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</row>
    <row r="4484" spans="1:19" x14ac:dyDescent="0.25">
      <c r="A4484" s="1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</row>
    <row r="4485" spans="1:19" x14ac:dyDescent="0.25">
      <c r="A4485" s="1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</row>
    <row r="4486" spans="1:19" x14ac:dyDescent="0.25">
      <c r="A4486" s="1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</row>
    <row r="4487" spans="1:19" x14ac:dyDescent="0.25">
      <c r="A4487" s="1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</row>
    <row r="4488" spans="1:19" x14ac:dyDescent="0.25">
      <c r="A4488" s="1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</row>
    <row r="4489" spans="1:19" x14ac:dyDescent="0.25">
      <c r="A4489" s="1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</row>
    <row r="4490" spans="1:19" x14ac:dyDescent="0.25">
      <c r="A4490" s="1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</row>
    <row r="4491" spans="1:19" x14ac:dyDescent="0.25">
      <c r="A4491" s="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</row>
    <row r="4492" spans="1:19" x14ac:dyDescent="0.25">
      <c r="A4492" s="1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</row>
    <row r="4493" spans="1:19" x14ac:dyDescent="0.25">
      <c r="A4493" s="1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</row>
    <row r="4494" spans="1:19" x14ac:dyDescent="0.25">
      <c r="A4494" s="1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</row>
    <row r="4495" spans="1:19" x14ac:dyDescent="0.25">
      <c r="A4495" s="1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</row>
    <row r="4496" spans="1:19" x14ac:dyDescent="0.25">
      <c r="A4496" s="1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</row>
    <row r="4497" spans="1:19" x14ac:dyDescent="0.25">
      <c r="A4497" s="1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</row>
    <row r="4498" spans="1:19" x14ac:dyDescent="0.25">
      <c r="A4498" s="1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</row>
    <row r="4499" spans="1:19" x14ac:dyDescent="0.25">
      <c r="A4499" s="1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</row>
    <row r="4500" spans="1:19" x14ac:dyDescent="0.25">
      <c r="A4500" s="1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</row>
    <row r="4501" spans="1:19" x14ac:dyDescent="0.25">
      <c r="A4501" s="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</row>
    <row r="4502" spans="1:19" x14ac:dyDescent="0.25">
      <c r="A4502" s="1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</row>
    <row r="4503" spans="1:19" x14ac:dyDescent="0.25">
      <c r="A4503" s="1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</row>
    <row r="4504" spans="1:19" x14ac:dyDescent="0.25">
      <c r="A4504" s="1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</row>
    <row r="4505" spans="1:19" x14ac:dyDescent="0.25">
      <c r="A4505" s="1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</row>
    <row r="4506" spans="1:19" x14ac:dyDescent="0.25">
      <c r="A4506" s="1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</row>
    <row r="4507" spans="1:19" x14ac:dyDescent="0.25">
      <c r="A4507" s="1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</row>
    <row r="4508" spans="1:19" x14ac:dyDescent="0.25">
      <c r="A4508" s="1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</row>
    <row r="4509" spans="1:19" x14ac:dyDescent="0.25">
      <c r="A4509" s="1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</row>
    <row r="4510" spans="1:19" x14ac:dyDescent="0.25">
      <c r="A4510" s="1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</row>
    <row r="4511" spans="1:19" x14ac:dyDescent="0.25">
      <c r="A4511" s="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</row>
    <row r="4512" spans="1:19" x14ac:dyDescent="0.25">
      <c r="A4512" s="1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</row>
    <row r="4513" spans="1:19" x14ac:dyDescent="0.25">
      <c r="A4513" s="1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</row>
    <row r="4514" spans="1:19" x14ac:dyDescent="0.25">
      <c r="A4514" s="1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</row>
    <row r="4515" spans="1:19" x14ac:dyDescent="0.25">
      <c r="A4515" s="1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</row>
    <row r="4516" spans="1:19" x14ac:dyDescent="0.25">
      <c r="A4516" s="1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</row>
    <row r="4517" spans="1:19" x14ac:dyDescent="0.25">
      <c r="A4517" s="1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</row>
    <row r="4518" spans="1:19" x14ac:dyDescent="0.25">
      <c r="A4518" s="1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</row>
    <row r="4519" spans="1:19" x14ac:dyDescent="0.25">
      <c r="A4519" s="1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</row>
    <row r="4520" spans="1:19" x14ac:dyDescent="0.25">
      <c r="A4520" s="1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</row>
    <row r="4521" spans="1:19" x14ac:dyDescent="0.25">
      <c r="A4521" s="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</row>
    <row r="4522" spans="1:19" x14ac:dyDescent="0.25">
      <c r="A4522" s="1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</row>
    <row r="4523" spans="1:19" x14ac:dyDescent="0.25">
      <c r="A4523" s="1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</row>
    <row r="4524" spans="1:19" x14ac:dyDescent="0.25">
      <c r="A4524" s="1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</row>
    <row r="4525" spans="1:19" x14ac:dyDescent="0.25">
      <c r="A4525" s="1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</row>
    <row r="4526" spans="1:19" x14ac:dyDescent="0.25">
      <c r="A4526" s="1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</row>
    <row r="4527" spans="1:19" x14ac:dyDescent="0.25">
      <c r="A4527" s="1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</row>
    <row r="4528" spans="1:19" x14ac:dyDescent="0.25">
      <c r="A4528" s="1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</row>
    <row r="4529" spans="1:19" x14ac:dyDescent="0.25">
      <c r="A4529" s="1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</row>
    <row r="4530" spans="1:19" x14ac:dyDescent="0.25">
      <c r="A4530" s="1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</row>
    <row r="4531" spans="1:19" x14ac:dyDescent="0.25">
      <c r="A4531" s="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</row>
    <row r="4532" spans="1:19" x14ac:dyDescent="0.25">
      <c r="A4532" s="1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</row>
    <row r="4533" spans="1:19" x14ac:dyDescent="0.25">
      <c r="A4533" s="1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</row>
    <row r="4534" spans="1:19" x14ac:dyDescent="0.25">
      <c r="A4534" s="1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</row>
    <row r="4535" spans="1:19" x14ac:dyDescent="0.25">
      <c r="A4535" s="1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</row>
    <row r="4536" spans="1:19" x14ac:dyDescent="0.25">
      <c r="A4536" s="1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</row>
    <row r="4537" spans="1:19" x14ac:dyDescent="0.25">
      <c r="A4537" s="1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</row>
    <row r="4538" spans="1:19" x14ac:dyDescent="0.25">
      <c r="A4538" s="1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</row>
    <row r="4539" spans="1:19" x14ac:dyDescent="0.25">
      <c r="A4539" s="1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</row>
    <row r="4540" spans="1:19" x14ac:dyDescent="0.25">
      <c r="A4540" s="1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</row>
    <row r="4541" spans="1:19" x14ac:dyDescent="0.25">
      <c r="A4541" s="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</row>
    <row r="4542" spans="1:19" x14ac:dyDescent="0.25">
      <c r="A4542" s="1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</row>
    <row r="4543" spans="1:19" x14ac:dyDescent="0.25">
      <c r="A4543" s="1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</row>
    <row r="4544" spans="1:19" x14ac:dyDescent="0.25">
      <c r="A4544" s="1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</row>
    <row r="4545" spans="1:19" x14ac:dyDescent="0.25">
      <c r="A4545" s="1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</row>
    <row r="4546" spans="1:19" x14ac:dyDescent="0.25">
      <c r="A4546" s="1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</row>
    <row r="4547" spans="1:19" x14ac:dyDescent="0.25">
      <c r="A4547" s="1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</row>
    <row r="4548" spans="1:19" x14ac:dyDescent="0.25">
      <c r="A4548" s="1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</row>
    <row r="4549" spans="1:19" x14ac:dyDescent="0.25">
      <c r="A4549" s="1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</row>
    <row r="4550" spans="1:19" x14ac:dyDescent="0.25">
      <c r="A4550" s="1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</row>
    <row r="4551" spans="1:19" x14ac:dyDescent="0.25">
      <c r="A4551" s="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</row>
    <row r="4552" spans="1:19" x14ac:dyDescent="0.25">
      <c r="A4552" s="1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</row>
    <row r="4553" spans="1:19" x14ac:dyDescent="0.25">
      <c r="A4553" s="1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</row>
    <row r="4554" spans="1:19" x14ac:dyDescent="0.25">
      <c r="A4554" s="1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</row>
    <row r="4555" spans="1:19" x14ac:dyDescent="0.25">
      <c r="A4555" s="1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</row>
    <row r="4556" spans="1:19" x14ac:dyDescent="0.25">
      <c r="A4556" s="1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</row>
    <row r="4557" spans="1:19" x14ac:dyDescent="0.25">
      <c r="A4557" s="1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</row>
    <row r="4558" spans="1:19" x14ac:dyDescent="0.25">
      <c r="A4558" s="1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</row>
    <row r="4559" spans="1:19" x14ac:dyDescent="0.25">
      <c r="A4559" s="1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</row>
    <row r="4560" spans="1:19" x14ac:dyDescent="0.25">
      <c r="A4560" s="1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</row>
    <row r="4561" spans="1:19" x14ac:dyDescent="0.25">
      <c r="A4561" s="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</row>
    <row r="4562" spans="1:19" x14ac:dyDescent="0.25">
      <c r="A4562" s="1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</row>
    <row r="4563" spans="1:19" x14ac:dyDescent="0.25">
      <c r="A4563" s="1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</row>
    <row r="4564" spans="1:19" x14ac:dyDescent="0.25">
      <c r="A4564" s="1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</row>
    <row r="4565" spans="1:19" x14ac:dyDescent="0.25">
      <c r="A4565" s="1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</row>
    <row r="4566" spans="1:19" x14ac:dyDescent="0.25">
      <c r="A4566" s="1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</row>
    <row r="4567" spans="1:19" x14ac:dyDescent="0.25">
      <c r="A4567" s="1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</row>
    <row r="4568" spans="1:19" x14ac:dyDescent="0.25">
      <c r="A4568" s="1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</row>
    <row r="4569" spans="1:19" x14ac:dyDescent="0.25">
      <c r="A4569" s="1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</row>
    <row r="4570" spans="1:19" x14ac:dyDescent="0.25">
      <c r="A4570" s="1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</row>
    <row r="4571" spans="1:19" x14ac:dyDescent="0.25">
      <c r="A4571" s="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</row>
    <row r="4572" spans="1:19" x14ac:dyDescent="0.25">
      <c r="A4572" s="1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</row>
    <row r="4573" spans="1:19" x14ac:dyDescent="0.25">
      <c r="A4573" s="1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</row>
    <row r="4574" spans="1:19" x14ac:dyDescent="0.25">
      <c r="A4574" s="1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</row>
    <row r="4575" spans="1:19" x14ac:dyDescent="0.25">
      <c r="A4575" s="1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</row>
    <row r="4576" spans="1:19" x14ac:dyDescent="0.25">
      <c r="A4576" s="1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</row>
    <row r="4577" spans="1:19" x14ac:dyDescent="0.25">
      <c r="A4577" s="1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</row>
    <row r="4578" spans="1:19" x14ac:dyDescent="0.25">
      <c r="A4578" s="1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</row>
    <row r="4579" spans="1:19" x14ac:dyDescent="0.25">
      <c r="A4579" s="1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</row>
    <row r="4580" spans="1:19" x14ac:dyDescent="0.25">
      <c r="A4580" s="1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</row>
    <row r="4581" spans="1:19" x14ac:dyDescent="0.25">
      <c r="A4581" s="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</row>
    <row r="4582" spans="1:19" x14ac:dyDescent="0.25">
      <c r="A4582" s="1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</row>
    <row r="4583" spans="1:19" x14ac:dyDescent="0.25">
      <c r="A4583" s="1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</row>
    <row r="4584" spans="1:19" x14ac:dyDescent="0.25">
      <c r="A4584" s="1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</row>
    <row r="4585" spans="1:19" x14ac:dyDescent="0.25">
      <c r="A4585" s="1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</row>
    <row r="4586" spans="1:19" x14ac:dyDescent="0.25">
      <c r="A4586" s="1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</row>
    <row r="4587" spans="1:19" x14ac:dyDescent="0.25">
      <c r="A4587" s="1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</row>
    <row r="4588" spans="1:19" x14ac:dyDescent="0.25">
      <c r="A4588" s="1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</row>
    <row r="4589" spans="1:19" x14ac:dyDescent="0.25">
      <c r="A4589" s="1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</row>
    <row r="4590" spans="1:19" x14ac:dyDescent="0.25">
      <c r="A4590" s="1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</row>
    <row r="4591" spans="1:19" x14ac:dyDescent="0.25">
      <c r="A4591" s="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</row>
    <row r="4592" spans="1:19" x14ac:dyDescent="0.25">
      <c r="A4592" s="1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</row>
    <row r="4593" spans="1:19" x14ac:dyDescent="0.25">
      <c r="A4593" s="1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</row>
    <row r="4594" spans="1:19" x14ac:dyDescent="0.25">
      <c r="A4594" s="1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</row>
    <row r="4595" spans="1:19" x14ac:dyDescent="0.25">
      <c r="A4595" s="1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</row>
    <row r="4596" spans="1:19" x14ac:dyDescent="0.25">
      <c r="A4596" s="1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</row>
    <row r="4597" spans="1:19" x14ac:dyDescent="0.25">
      <c r="A4597" s="1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</row>
    <row r="4598" spans="1:19" x14ac:dyDescent="0.25">
      <c r="A4598" s="1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</row>
    <row r="4599" spans="1:19" x14ac:dyDescent="0.25">
      <c r="A4599" s="1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</row>
    <row r="4600" spans="1:19" x14ac:dyDescent="0.25">
      <c r="A4600" s="1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</row>
    <row r="4601" spans="1:19" x14ac:dyDescent="0.25">
      <c r="A4601" s="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</row>
    <row r="4602" spans="1:19" x14ac:dyDescent="0.25">
      <c r="A4602" s="1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</row>
    <row r="4603" spans="1:19" x14ac:dyDescent="0.25">
      <c r="A4603" s="1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</row>
    <row r="4604" spans="1:19" x14ac:dyDescent="0.25">
      <c r="A4604" s="1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</row>
    <row r="4605" spans="1:19" x14ac:dyDescent="0.25">
      <c r="A4605" s="1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</row>
    <row r="4606" spans="1:19" x14ac:dyDescent="0.25">
      <c r="A4606" s="1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</row>
    <row r="4607" spans="1:19" x14ac:dyDescent="0.25">
      <c r="A4607" s="1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</row>
    <row r="4608" spans="1:19" x14ac:dyDescent="0.25">
      <c r="A4608" s="1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</row>
    <row r="4609" spans="1:19" x14ac:dyDescent="0.25">
      <c r="A4609" s="1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</row>
    <row r="4610" spans="1:19" x14ac:dyDescent="0.25">
      <c r="A4610" s="1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</row>
    <row r="4611" spans="1:19" x14ac:dyDescent="0.25">
      <c r="A4611" s="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</row>
    <row r="4612" spans="1:19" x14ac:dyDescent="0.25">
      <c r="A4612" s="1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</row>
    <row r="4613" spans="1:19" x14ac:dyDescent="0.25">
      <c r="A4613" s="1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</row>
    <row r="4614" spans="1:19" x14ac:dyDescent="0.25">
      <c r="A4614" s="1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</row>
    <row r="4615" spans="1:19" x14ac:dyDescent="0.25">
      <c r="A4615" s="1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</row>
    <row r="4616" spans="1:19" x14ac:dyDescent="0.25">
      <c r="A4616" s="1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</row>
    <row r="4617" spans="1:19" x14ac:dyDescent="0.25">
      <c r="A4617" s="1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</row>
    <row r="4618" spans="1:19" x14ac:dyDescent="0.25">
      <c r="A4618" s="1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</row>
    <row r="4619" spans="1:19" x14ac:dyDescent="0.25">
      <c r="A4619" s="1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</row>
    <row r="4620" spans="1:19" x14ac:dyDescent="0.25">
      <c r="A4620" s="1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</row>
    <row r="4621" spans="1:19" x14ac:dyDescent="0.25">
      <c r="A4621" s="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</row>
    <row r="4622" spans="1:19" x14ac:dyDescent="0.25">
      <c r="A4622" s="1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</row>
    <row r="4623" spans="1:19" x14ac:dyDescent="0.25">
      <c r="A4623" s="1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</row>
    <row r="4624" spans="1:19" x14ac:dyDescent="0.25">
      <c r="A4624" s="1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</row>
    <row r="4625" spans="1:19" x14ac:dyDescent="0.25">
      <c r="A4625" s="1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</row>
    <row r="4626" spans="1:19" x14ac:dyDescent="0.25">
      <c r="A4626" s="1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</row>
    <row r="4627" spans="1:19" x14ac:dyDescent="0.25">
      <c r="A4627" s="1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</row>
    <row r="4628" spans="1:19" x14ac:dyDescent="0.25">
      <c r="A4628" s="1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</row>
    <row r="4629" spans="1:19" x14ac:dyDescent="0.25">
      <c r="A4629" s="1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</row>
    <row r="4630" spans="1:19" x14ac:dyDescent="0.25">
      <c r="A4630" s="1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</row>
    <row r="4631" spans="1:19" x14ac:dyDescent="0.25">
      <c r="A4631" s="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</row>
    <row r="4632" spans="1:19" x14ac:dyDescent="0.25">
      <c r="A4632" s="1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</row>
    <row r="4633" spans="1:19" x14ac:dyDescent="0.25">
      <c r="A4633" s="1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</row>
    <row r="4634" spans="1:19" x14ac:dyDescent="0.25">
      <c r="A4634" s="1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</row>
    <row r="4635" spans="1:19" x14ac:dyDescent="0.25">
      <c r="A4635" s="1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</row>
    <row r="4636" spans="1:19" x14ac:dyDescent="0.25">
      <c r="A4636" s="1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</row>
    <row r="4637" spans="1:19" x14ac:dyDescent="0.25">
      <c r="A4637" s="1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</row>
    <row r="4638" spans="1:19" x14ac:dyDescent="0.25">
      <c r="A4638" s="1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</row>
    <row r="4639" spans="1:19" x14ac:dyDescent="0.25">
      <c r="A4639" s="1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</row>
    <row r="4640" spans="1:19" x14ac:dyDescent="0.25">
      <c r="A4640" s="1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</row>
    <row r="4641" spans="1:19" x14ac:dyDescent="0.25">
      <c r="A4641" s="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</row>
    <row r="4642" spans="1:19" x14ac:dyDescent="0.25">
      <c r="A4642" s="1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</row>
    <row r="4643" spans="1:19" x14ac:dyDescent="0.25">
      <c r="A4643" s="1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</row>
    <row r="4644" spans="1:19" x14ac:dyDescent="0.25">
      <c r="A4644" s="1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</row>
    <row r="4645" spans="1:19" x14ac:dyDescent="0.25">
      <c r="A4645" s="1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</row>
    <row r="4646" spans="1:19" x14ac:dyDescent="0.25">
      <c r="A4646" s="1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</row>
    <row r="4647" spans="1:19" x14ac:dyDescent="0.25">
      <c r="A4647" s="1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</row>
    <row r="4648" spans="1:19" x14ac:dyDescent="0.25">
      <c r="A4648" s="1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</row>
    <row r="4649" spans="1:19" x14ac:dyDescent="0.25">
      <c r="A4649" s="1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</row>
    <row r="4650" spans="1:19" x14ac:dyDescent="0.25">
      <c r="A4650" s="1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</row>
    <row r="4651" spans="1:19" x14ac:dyDescent="0.25">
      <c r="A4651" s="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</row>
    <row r="4652" spans="1:19" x14ac:dyDescent="0.25">
      <c r="A4652" s="1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</row>
    <row r="4653" spans="1:19" x14ac:dyDescent="0.25">
      <c r="A4653" s="1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</row>
    <row r="4654" spans="1:19" x14ac:dyDescent="0.25">
      <c r="A4654" s="1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</row>
    <row r="4655" spans="1:19" x14ac:dyDescent="0.25">
      <c r="A4655" s="1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</row>
    <row r="4656" spans="1:19" x14ac:dyDescent="0.25">
      <c r="A4656" s="1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</row>
    <row r="4657" spans="1:19" x14ac:dyDescent="0.25">
      <c r="A4657" s="1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</row>
    <row r="4658" spans="1:19" x14ac:dyDescent="0.25">
      <c r="A4658" s="1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</row>
    <row r="4659" spans="1:19" x14ac:dyDescent="0.25">
      <c r="A4659" s="1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</row>
    <row r="4660" spans="1:19" x14ac:dyDescent="0.25">
      <c r="A4660" s="1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</row>
    <row r="4661" spans="1:19" x14ac:dyDescent="0.25">
      <c r="A4661" s="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</row>
    <row r="4662" spans="1:19" x14ac:dyDescent="0.25">
      <c r="A4662" s="1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</row>
    <row r="4663" spans="1:19" x14ac:dyDescent="0.25">
      <c r="A4663" s="1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</row>
    <row r="4664" spans="1:19" x14ac:dyDescent="0.25">
      <c r="A4664" s="1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</row>
    <row r="4665" spans="1:19" x14ac:dyDescent="0.25">
      <c r="A4665" s="1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</row>
    <row r="4666" spans="1:19" x14ac:dyDescent="0.25">
      <c r="A4666" s="1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</row>
    <row r="4667" spans="1:19" x14ac:dyDescent="0.25">
      <c r="A4667" s="1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</row>
    <row r="4668" spans="1:19" x14ac:dyDescent="0.25">
      <c r="A4668" s="1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</row>
    <row r="4669" spans="1:19" x14ac:dyDescent="0.25">
      <c r="A4669" s="1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</row>
    <row r="4670" spans="1:19" x14ac:dyDescent="0.25">
      <c r="A4670" s="1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</row>
    <row r="4671" spans="1:19" x14ac:dyDescent="0.25">
      <c r="A4671" s="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</row>
    <row r="4672" spans="1:19" x14ac:dyDescent="0.25">
      <c r="A4672" s="1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</row>
    <row r="4673" spans="1:19" x14ac:dyDescent="0.25">
      <c r="A4673" s="1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</row>
    <row r="4674" spans="1:19" x14ac:dyDescent="0.25">
      <c r="A4674" s="1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</row>
    <row r="4675" spans="1:19" x14ac:dyDescent="0.25">
      <c r="A4675" s="1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</row>
    <row r="4676" spans="1:19" x14ac:dyDescent="0.25">
      <c r="A4676" s="1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</row>
    <row r="4677" spans="1:19" x14ac:dyDescent="0.25">
      <c r="A4677" s="1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</row>
    <row r="4678" spans="1:19" x14ac:dyDescent="0.25">
      <c r="A4678" s="1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</row>
    <row r="4679" spans="1:19" x14ac:dyDescent="0.25">
      <c r="A4679" s="1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</row>
    <row r="4680" spans="1:19" x14ac:dyDescent="0.25">
      <c r="A4680" s="1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</row>
    <row r="4681" spans="1:19" x14ac:dyDescent="0.25">
      <c r="A4681" s="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</row>
    <row r="4682" spans="1:19" x14ac:dyDescent="0.25">
      <c r="A4682" s="1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</row>
    <row r="4683" spans="1:19" x14ac:dyDescent="0.25">
      <c r="A4683" s="1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</row>
    <row r="4684" spans="1:19" x14ac:dyDescent="0.25">
      <c r="A4684" s="1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</row>
    <row r="4685" spans="1:19" x14ac:dyDescent="0.25">
      <c r="A4685" s="1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</row>
    <row r="4686" spans="1:19" x14ac:dyDescent="0.25">
      <c r="A4686" s="1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</row>
    <row r="4687" spans="1:19" x14ac:dyDescent="0.25">
      <c r="A4687" s="1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</row>
    <row r="4688" spans="1:19" x14ac:dyDescent="0.25">
      <c r="A4688" s="1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</row>
    <row r="4689" spans="1:19" x14ac:dyDescent="0.25">
      <c r="A4689" s="1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</row>
    <row r="4690" spans="1:19" x14ac:dyDescent="0.25">
      <c r="A4690" s="1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</row>
    <row r="4691" spans="1:19" x14ac:dyDescent="0.25">
      <c r="A4691" s="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</row>
    <row r="4692" spans="1:19" x14ac:dyDescent="0.25">
      <c r="A4692" s="1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</row>
    <row r="4693" spans="1:19" x14ac:dyDescent="0.25">
      <c r="A4693" s="1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</row>
    <row r="4694" spans="1:19" x14ac:dyDescent="0.25">
      <c r="A4694" s="1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</row>
    <row r="4695" spans="1:19" x14ac:dyDescent="0.25">
      <c r="A4695" s="1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</row>
    <row r="4696" spans="1:19" x14ac:dyDescent="0.25">
      <c r="A4696" s="1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</row>
    <row r="4697" spans="1:19" x14ac:dyDescent="0.25">
      <c r="A4697" s="1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</row>
    <row r="4698" spans="1:19" x14ac:dyDescent="0.25">
      <c r="A4698" s="1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</row>
    <row r="4699" spans="1:19" x14ac:dyDescent="0.25">
      <c r="A4699" s="1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</row>
    <row r="4700" spans="1:19" x14ac:dyDescent="0.25">
      <c r="A4700" s="1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</row>
    <row r="4701" spans="1:19" x14ac:dyDescent="0.25">
      <c r="A4701" s="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</row>
    <row r="4702" spans="1:19" x14ac:dyDescent="0.25">
      <c r="A4702" s="1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</row>
    <row r="4703" spans="1:19" x14ac:dyDescent="0.25">
      <c r="A4703" s="1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</row>
    <row r="4704" spans="1:19" x14ac:dyDescent="0.25">
      <c r="A4704" s="1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</row>
    <row r="4705" spans="1:19" x14ac:dyDescent="0.25">
      <c r="A4705" s="1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</row>
    <row r="4706" spans="1:19" x14ac:dyDescent="0.25">
      <c r="A4706" s="1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</row>
    <row r="4707" spans="1:19" x14ac:dyDescent="0.25">
      <c r="A4707" s="1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</row>
    <row r="4708" spans="1:19" x14ac:dyDescent="0.25">
      <c r="A4708" s="1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</row>
    <row r="4709" spans="1:19" x14ac:dyDescent="0.25">
      <c r="A4709" s="1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</row>
    <row r="4710" spans="1:19" x14ac:dyDescent="0.25">
      <c r="A4710" s="1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</row>
    <row r="4711" spans="1:19" x14ac:dyDescent="0.25">
      <c r="A4711" s="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</row>
    <row r="4712" spans="1:19" x14ac:dyDescent="0.25">
      <c r="A4712" s="1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</row>
    <row r="4713" spans="1:19" x14ac:dyDescent="0.25">
      <c r="A4713" s="1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</row>
    <row r="4714" spans="1:19" x14ac:dyDescent="0.25">
      <c r="A4714" s="1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</row>
    <row r="4715" spans="1:19" x14ac:dyDescent="0.25">
      <c r="A4715" s="1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</row>
    <row r="4716" spans="1:19" x14ac:dyDescent="0.25">
      <c r="A4716" s="1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</row>
    <row r="4717" spans="1:19" x14ac:dyDescent="0.25">
      <c r="A4717" s="1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</row>
    <row r="4718" spans="1:19" x14ac:dyDescent="0.25">
      <c r="A4718" s="1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</row>
    <row r="4719" spans="1:19" x14ac:dyDescent="0.25">
      <c r="A4719" s="1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</row>
    <row r="4720" spans="1:19" x14ac:dyDescent="0.25">
      <c r="A4720" s="1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</row>
    <row r="4721" spans="1:19" x14ac:dyDescent="0.25">
      <c r="A4721" s="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</row>
    <row r="4722" spans="1:19" x14ac:dyDescent="0.25">
      <c r="A4722" s="1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</row>
    <row r="4723" spans="1:19" x14ac:dyDescent="0.25">
      <c r="A4723" s="1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</row>
    <row r="4724" spans="1:19" x14ac:dyDescent="0.25">
      <c r="A4724" s="1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</row>
    <row r="4725" spans="1:19" x14ac:dyDescent="0.25">
      <c r="A4725" s="1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</row>
    <row r="4726" spans="1:19" x14ac:dyDescent="0.25">
      <c r="A4726" s="1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</row>
    <row r="4727" spans="1:19" x14ac:dyDescent="0.25">
      <c r="A4727" s="1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</row>
    <row r="4728" spans="1:19" x14ac:dyDescent="0.25">
      <c r="A4728" s="1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</row>
    <row r="4729" spans="1:19" x14ac:dyDescent="0.25">
      <c r="A4729" s="1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</row>
    <row r="4730" spans="1:19" x14ac:dyDescent="0.25">
      <c r="A4730" s="1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</row>
    <row r="4731" spans="1:19" x14ac:dyDescent="0.25">
      <c r="A4731" s="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</row>
    <row r="4732" spans="1:19" x14ac:dyDescent="0.25">
      <c r="A4732" s="1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</row>
    <row r="4733" spans="1:19" x14ac:dyDescent="0.25">
      <c r="A4733" s="1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</row>
    <row r="4734" spans="1:19" x14ac:dyDescent="0.25">
      <c r="A4734" s="1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</row>
    <row r="4735" spans="1:19" x14ac:dyDescent="0.25">
      <c r="A4735" s="1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</row>
    <row r="4736" spans="1:19" x14ac:dyDescent="0.25">
      <c r="A4736" s="1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</row>
    <row r="4737" spans="1:19" x14ac:dyDescent="0.25">
      <c r="A4737" s="1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</row>
    <row r="4738" spans="1:19" x14ac:dyDescent="0.25">
      <c r="A4738" s="1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</row>
    <row r="4739" spans="1:19" x14ac:dyDescent="0.25">
      <c r="A4739" s="1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</row>
    <row r="4740" spans="1:19" x14ac:dyDescent="0.25">
      <c r="A4740" s="1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</row>
    <row r="4741" spans="1:19" x14ac:dyDescent="0.25">
      <c r="A4741" s="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</row>
    <row r="4742" spans="1:19" x14ac:dyDescent="0.25">
      <c r="A4742" s="1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</row>
    <row r="4743" spans="1:19" x14ac:dyDescent="0.25">
      <c r="A4743" s="1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</row>
    <row r="4744" spans="1:19" x14ac:dyDescent="0.25">
      <c r="A4744" s="1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</row>
    <row r="4745" spans="1:19" x14ac:dyDescent="0.25">
      <c r="A4745" s="1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</row>
    <row r="4746" spans="1:19" x14ac:dyDescent="0.25">
      <c r="A4746" s="1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</row>
    <row r="4747" spans="1:19" x14ac:dyDescent="0.25">
      <c r="A4747" s="1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</row>
    <row r="4748" spans="1:19" x14ac:dyDescent="0.25">
      <c r="A4748" s="1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</row>
    <row r="4749" spans="1:19" x14ac:dyDescent="0.25">
      <c r="A4749" s="1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</row>
    <row r="4750" spans="1:19" x14ac:dyDescent="0.25">
      <c r="A4750" s="1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</row>
    <row r="4751" spans="1:19" x14ac:dyDescent="0.25">
      <c r="A4751" s="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</row>
    <row r="4752" spans="1:19" x14ac:dyDescent="0.25">
      <c r="A4752" s="1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</row>
    <row r="4753" spans="1:19" x14ac:dyDescent="0.25">
      <c r="A4753" s="1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</row>
    <row r="4754" spans="1:19" x14ac:dyDescent="0.25">
      <c r="A4754" s="1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</row>
    <row r="4755" spans="1:19" x14ac:dyDescent="0.25">
      <c r="A4755" s="1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</row>
    <row r="4756" spans="1:19" x14ac:dyDescent="0.25">
      <c r="A4756" s="1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</row>
    <row r="4757" spans="1:19" x14ac:dyDescent="0.25">
      <c r="A4757" s="1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</row>
    <row r="4758" spans="1:19" x14ac:dyDescent="0.25">
      <c r="A4758" s="1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</row>
    <row r="4759" spans="1:19" x14ac:dyDescent="0.25">
      <c r="A4759" s="1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</row>
    <row r="4760" spans="1:19" x14ac:dyDescent="0.25">
      <c r="A4760" s="1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</row>
    <row r="4761" spans="1:19" x14ac:dyDescent="0.25">
      <c r="A4761" s="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</row>
    <row r="4762" spans="1:19" x14ac:dyDescent="0.25">
      <c r="A4762" s="1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</row>
    <row r="4763" spans="1:19" x14ac:dyDescent="0.25">
      <c r="A4763" s="1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</row>
    <row r="4764" spans="1:19" x14ac:dyDescent="0.25">
      <c r="A4764" s="1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</row>
    <row r="4765" spans="1:19" x14ac:dyDescent="0.25">
      <c r="A4765" s="1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</row>
    <row r="4766" spans="1:19" x14ac:dyDescent="0.25">
      <c r="A4766" s="1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</row>
    <row r="4767" spans="1:19" x14ac:dyDescent="0.25">
      <c r="A4767" s="1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</row>
    <row r="4768" spans="1:19" x14ac:dyDescent="0.25">
      <c r="A4768" s="1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</row>
    <row r="4769" spans="1:19" x14ac:dyDescent="0.25">
      <c r="A4769" s="1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</row>
    <row r="4770" spans="1:19" x14ac:dyDescent="0.25">
      <c r="A4770" s="1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</row>
    <row r="4771" spans="1:19" x14ac:dyDescent="0.25">
      <c r="A4771" s="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</row>
    <row r="4772" spans="1:19" x14ac:dyDescent="0.25">
      <c r="A4772" s="1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</row>
    <row r="4773" spans="1:19" x14ac:dyDescent="0.25">
      <c r="A4773" s="1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</row>
    <row r="4774" spans="1:19" x14ac:dyDescent="0.25">
      <c r="A4774" s="1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</row>
    <row r="4775" spans="1:19" x14ac:dyDescent="0.25">
      <c r="A4775" s="1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</row>
    <row r="4776" spans="1:19" x14ac:dyDescent="0.25">
      <c r="A4776" s="1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</row>
    <row r="4777" spans="1:19" x14ac:dyDescent="0.25">
      <c r="A4777" s="1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</row>
    <row r="4778" spans="1:19" x14ac:dyDescent="0.25">
      <c r="A4778" s="1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</row>
    <row r="4779" spans="1:19" x14ac:dyDescent="0.25">
      <c r="A4779" s="1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</row>
    <row r="4780" spans="1:19" x14ac:dyDescent="0.25">
      <c r="A4780" s="1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</row>
    <row r="4781" spans="1:19" x14ac:dyDescent="0.25">
      <c r="A4781" s="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</row>
    <row r="4782" spans="1:19" x14ac:dyDescent="0.25">
      <c r="A4782" s="1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</row>
    <row r="4783" spans="1:19" x14ac:dyDescent="0.25">
      <c r="A4783" s="1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</row>
    <row r="4784" spans="1:19" x14ac:dyDescent="0.25">
      <c r="A4784" s="1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</row>
    <row r="4785" spans="1:19" x14ac:dyDescent="0.25">
      <c r="A4785" s="1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</row>
    <row r="4786" spans="1:19" x14ac:dyDescent="0.25">
      <c r="A4786" s="1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</row>
    <row r="4787" spans="1:19" x14ac:dyDescent="0.25">
      <c r="A4787" s="1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</row>
    <row r="4788" spans="1:19" x14ac:dyDescent="0.25">
      <c r="A4788" s="1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</row>
    <row r="4789" spans="1:19" x14ac:dyDescent="0.25">
      <c r="A4789" s="1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</row>
    <row r="4790" spans="1:19" x14ac:dyDescent="0.25">
      <c r="A4790" s="1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</row>
    <row r="4791" spans="1:19" x14ac:dyDescent="0.25">
      <c r="A4791" s="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</row>
    <row r="4792" spans="1:19" x14ac:dyDescent="0.25">
      <c r="A4792" s="1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</row>
    <row r="4793" spans="1:19" x14ac:dyDescent="0.25">
      <c r="A4793" s="1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</row>
    <row r="4794" spans="1:19" x14ac:dyDescent="0.25">
      <c r="A4794" s="1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</row>
    <row r="4795" spans="1:19" x14ac:dyDescent="0.25">
      <c r="A4795" s="1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</row>
    <row r="4796" spans="1:19" x14ac:dyDescent="0.25">
      <c r="A4796" s="1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</row>
    <row r="4797" spans="1:19" x14ac:dyDescent="0.25">
      <c r="A4797" s="1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</row>
    <row r="4798" spans="1:19" x14ac:dyDescent="0.25">
      <c r="A4798" s="1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</row>
    <row r="4799" spans="1:19" x14ac:dyDescent="0.25">
      <c r="A4799" s="1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</row>
    <row r="4800" spans="1:19" x14ac:dyDescent="0.25">
      <c r="A4800" s="1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</row>
    <row r="4801" spans="1:19" x14ac:dyDescent="0.25">
      <c r="A4801" s="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</row>
    <row r="4802" spans="1:19" x14ac:dyDescent="0.25">
      <c r="A4802" s="1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</row>
    <row r="4803" spans="1:19" x14ac:dyDescent="0.25">
      <c r="A4803" s="1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</row>
    <row r="4804" spans="1:19" x14ac:dyDescent="0.25">
      <c r="A4804" s="1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</row>
    <row r="4805" spans="1:19" x14ac:dyDescent="0.25">
      <c r="A4805" s="1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</row>
    <row r="4806" spans="1:19" x14ac:dyDescent="0.25">
      <c r="A4806" s="1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</row>
    <row r="4807" spans="1:19" x14ac:dyDescent="0.25">
      <c r="A4807" s="1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</row>
    <row r="4808" spans="1:19" x14ac:dyDescent="0.25">
      <c r="A4808" s="1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</row>
    <row r="4809" spans="1:19" x14ac:dyDescent="0.25">
      <c r="A4809" s="1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</row>
    <row r="4810" spans="1:19" x14ac:dyDescent="0.25">
      <c r="A4810" s="1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</row>
    <row r="4811" spans="1:19" x14ac:dyDescent="0.25">
      <c r="A4811" s="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</row>
    <row r="4812" spans="1:19" x14ac:dyDescent="0.25">
      <c r="A4812" s="1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</row>
    <row r="4813" spans="1:19" x14ac:dyDescent="0.25">
      <c r="A4813" s="1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</row>
    <row r="4814" spans="1:19" x14ac:dyDescent="0.25">
      <c r="A4814" s="1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</row>
    <row r="4815" spans="1:19" x14ac:dyDescent="0.25">
      <c r="A4815" s="1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</row>
    <row r="4816" spans="1:19" x14ac:dyDescent="0.25">
      <c r="A4816" s="1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</row>
    <row r="4817" spans="1:19" x14ac:dyDescent="0.25">
      <c r="A4817" s="1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</row>
    <row r="4818" spans="1:19" x14ac:dyDescent="0.25">
      <c r="A4818" s="1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</row>
    <row r="4819" spans="1:19" x14ac:dyDescent="0.25">
      <c r="A4819" s="1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</row>
    <row r="4820" spans="1:19" x14ac:dyDescent="0.25">
      <c r="A4820" s="1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</row>
    <row r="4821" spans="1:19" x14ac:dyDescent="0.25">
      <c r="A4821" s="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</row>
    <row r="4822" spans="1:19" x14ac:dyDescent="0.25">
      <c r="A4822" s="1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</row>
    <row r="4823" spans="1:19" x14ac:dyDescent="0.25">
      <c r="A4823" s="1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</row>
    <row r="4824" spans="1:19" x14ac:dyDescent="0.25">
      <c r="A4824" s="1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</row>
    <row r="4825" spans="1:19" x14ac:dyDescent="0.25">
      <c r="A4825" s="1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</row>
    <row r="4826" spans="1:19" x14ac:dyDescent="0.25">
      <c r="A4826" s="1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</row>
    <row r="4827" spans="1:19" x14ac:dyDescent="0.25">
      <c r="A4827" s="1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</row>
    <row r="4828" spans="1:19" x14ac:dyDescent="0.25">
      <c r="A4828" s="1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</row>
    <row r="4829" spans="1:19" x14ac:dyDescent="0.25">
      <c r="A4829" s="1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</row>
    <row r="4830" spans="1:19" x14ac:dyDescent="0.25">
      <c r="A4830" s="1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</row>
    <row r="4831" spans="1:19" x14ac:dyDescent="0.25">
      <c r="A4831" s="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</row>
    <row r="4832" spans="1:19" x14ac:dyDescent="0.25">
      <c r="A4832" s="1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</row>
    <row r="4833" spans="1:19" x14ac:dyDescent="0.25">
      <c r="A4833" s="1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</row>
    <row r="4834" spans="1:19" x14ac:dyDescent="0.25">
      <c r="A4834" s="1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</row>
    <row r="4835" spans="1:19" x14ac:dyDescent="0.25">
      <c r="A4835" s="1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</row>
    <row r="4836" spans="1:19" x14ac:dyDescent="0.25">
      <c r="A4836" s="1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</row>
    <row r="4837" spans="1:19" x14ac:dyDescent="0.25">
      <c r="A4837" s="1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</row>
    <row r="4838" spans="1:19" x14ac:dyDescent="0.25">
      <c r="A4838" s="1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</row>
    <row r="4839" spans="1:19" x14ac:dyDescent="0.25">
      <c r="A4839" s="1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</row>
    <row r="4840" spans="1:19" x14ac:dyDescent="0.25">
      <c r="A4840" s="1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</row>
    <row r="4841" spans="1:19" x14ac:dyDescent="0.25">
      <c r="A4841" s="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</row>
    <row r="4842" spans="1:19" x14ac:dyDescent="0.25">
      <c r="A4842" s="1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</row>
    <row r="4843" spans="1:19" x14ac:dyDescent="0.25">
      <c r="A4843" s="1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</row>
    <row r="4844" spans="1:19" x14ac:dyDescent="0.25">
      <c r="A4844" s="1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</row>
    <row r="4845" spans="1:19" x14ac:dyDescent="0.25">
      <c r="A4845" s="1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</row>
    <row r="4846" spans="1:19" x14ac:dyDescent="0.25">
      <c r="A4846" s="1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</row>
    <row r="4847" spans="1:19" x14ac:dyDescent="0.25">
      <c r="A4847" s="1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</row>
    <row r="4848" spans="1:19" x14ac:dyDescent="0.25">
      <c r="A4848" s="1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</row>
    <row r="4849" spans="1:19" x14ac:dyDescent="0.25">
      <c r="A4849" s="1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</row>
    <row r="4850" spans="1:19" x14ac:dyDescent="0.25">
      <c r="A4850" s="1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</row>
    <row r="4851" spans="1:19" x14ac:dyDescent="0.25">
      <c r="A4851" s="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</row>
    <row r="4852" spans="1:19" x14ac:dyDescent="0.25">
      <c r="A4852" s="1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</row>
    <row r="4853" spans="1:19" x14ac:dyDescent="0.25">
      <c r="A4853" s="1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</row>
    <row r="4854" spans="1:19" x14ac:dyDescent="0.25">
      <c r="A4854" s="1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</row>
    <row r="4855" spans="1:19" x14ac:dyDescent="0.25">
      <c r="A4855" s="1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</row>
    <row r="4856" spans="1:19" x14ac:dyDescent="0.25">
      <c r="A4856" s="1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</row>
    <row r="4857" spans="1:19" x14ac:dyDescent="0.25">
      <c r="A4857" s="1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</row>
    <row r="4858" spans="1:19" x14ac:dyDescent="0.25">
      <c r="A4858" s="1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</row>
    <row r="4859" spans="1:19" x14ac:dyDescent="0.25">
      <c r="A4859" s="1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</row>
    <row r="4860" spans="1:19" x14ac:dyDescent="0.25">
      <c r="A4860" s="1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</row>
    <row r="4861" spans="1:19" x14ac:dyDescent="0.25">
      <c r="A4861" s="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</row>
    <row r="4862" spans="1:19" x14ac:dyDescent="0.25">
      <c r="A4862" s="1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</row>
    <row r="4863" spans="1:19" x14ac:dyDescent="0.25">
      <c r="A4863" s="1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</row>
    <row r="4864" spans="1:19" x14ac:dyDescent="0.25">
      <c r="A4864" s="1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</row>
    <row r="4865" spans="1:19" x14ac:dyDescent="0.25">
      <c r="A4865" s="1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</row>
    <row r="4866" spans="1:19" x14ac:dyDescent="0.25">
      <c r="A4866" s="1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</row>
    <row r="4867" spans="1:19" x14ac:dyDescent="0.25">
      <c r="A4867" s="1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</row>
    <row r="4868" spans="1:19" x14ac:dyDescent="0.25">
      <c r="A4868" s="1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</row>
    <row r="4869" spans="1:19" x14ac:dyDescent="0.25">
      <c r="A4869" s="1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</row>
    <row r="4870" spans="1:19" x14ac:dyDescent="0.25">
      <c r="A4870" s="1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</row>
    <row r="4871" spans="1:19" x14ac:dyDescent="0.25">
      <c r="A4871" s="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</row>
    <row r="4872" spans="1:19" x14ac:dyDescent="0.25">
      <c r="A4872" s="1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</row>
    <row r="4873" spans="1:19" x14ac:dyDescent="0.25">
      <c r="A4873" s="1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</row>
    <row r="4874" spans="1:19" x14ac:dyDescent="0.25">
      <c r="A4874" s="1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</row>
    <row r="4875" spans="1:19" x14ac:dyDescent="0.25">
      <c r="A4875" s="1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</row>
    <row r="4876" spans="1:19" x14ac:dyDescent="0.25">
      <c r="A4876" s="1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</row>
    <row r="4877" spans="1:19" x14ac:dyDescent="0.25">
      <c r="A4877" s="1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</row>
    <row r="4878" spans="1:19" x14ac:dyDescent="0.25">
      <c r="A4878" s="1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</row>
    <row r="4879" spans="1:19" x14ac:dyDescent="0.25">
      <c r="A4879" s="1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</row>
    <row r="4880" spans="1:19" x14ac:dyDescent="0.25">
      <c r="A4880" s="1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</row>
    <row r="4881" spans="1:19" x14ac:dyDescent="0.25">
      <c r="A4881" s="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</row>
    <row r="4882" spans="1:19" x14ac:dyDescent="0.25">
      <c r="A4882" s="1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</row>
    <row r="4883" spans="1:19" x14ac:dyDescent="0.25">
      <c r="A4883" s="1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</row>
    <row r="4884" spans="1:19" x14ac:dyDescent="0.25">
      <c r="A4884" s="1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</row>
    <row r="4885" spans="1:19" x14ac:dyDescent="0.25">
      <c r="A4885" s="1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</row>
    <row r="4886" spans="1:19" x14ac:dyDescent="0.25">
      <c r="A4886" s="1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</row>
    <row r="4887" spans="1:19" x14ac:dyDescent="0.25">
      <c r="A4887" s="1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</row>
    <row r="4888" spans="1:19" x14ac:dyDescent="0.25">
      <c r="A4888" s="1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</row>
    <row r="4889" spans="1:19" x14ac:dyDescent="0.25">
      <c r="A4889" s="1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</row>
    <row r="4890" spans="1:19" x14ac:dyDescent="0.25">
      <c r="A4890" s="1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</row>
    <row r="4891" spans="1:19" x14ac:dyDescent="0.25">
      <c r="A4891" s="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</row>
    <row r="4892" spans="1:19" x14ac:dyDescent="0.25">
      <c r="A4892" s="1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</row>
    <row r="4893" spans="1:19" x14ac:dyDescent="0.25">
      <c r="A4893" s="1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</row>
    <row r="4894" spans="1:19" x14ac:dyDescent="0.25">
      <c r="A4894" s="1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</row>
    <row r="4895" spans="1:19" x14ac:dyDescent="0.25">
      <c r="A4895" s="1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</row>
    <row r="4896" spans="1:19" x14ac:dyDescent="0.25">
      <c r="A4896" s="1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</row>
    <row r="4897" spans="1:19" x14ac:dyDescent="0.25">
      <c r="A4897" s="1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</row>
    <row r="4898" spans="1:19" x14ac:dyDescent="0.25">
      <c r="A4898" s="1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</row>
    <row r="4899" spans="1:19" x14ac:dyDescent="0.25">
      <c r="A4899" s="1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</row>
    <row r="4900" spans="1:19" x14ac:dyDescent="0.25">
      <c r="A4900" s="1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</row>
    <row r="4901" spans="1:19" x14ac:dyDescent="0.25">
      <c r="A4901" s="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</row>
    <row r="4902" spans="1:19" x14ac:dyDescent="0.25">
      <c r="A4902" s="1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</row>
    <row r="4903" spans="1:19" x14ac:dyDescent="0.25">
      <c r="A4903" s="1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</row>
    <row r="4904" spans="1:19" x14ac:dyDescent="0.25">
      <c r="A4904" s="1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</row>
    <row r="4905" spans="1:19" x14ac:dyDescent="0.25">
      <c r="A4905" s="1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</row>
    <row r="4906" spans="1:19" x14ac:dyDescent="0.25">
      <c r="A4906" s="1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</row>
    <row r="4907" spans="1:19" x14ac:dyDescent="0.25">
      <c r="A4907" s="1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</row>
    <row r="4908" spans="1:19" x14ac:dyDescent="0.25">
      <c r="A4908" s="1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</row>
    <row r="4909" spans="1:19" x14ac:dyDescent="0.25">
      <c r="A4909" s="1"/>
      <c r="B4909"/>
      <c r="C4909"/>
      <c r="D4909"/>
      <c r="E4909"/>
      <c r="F4909"/>
      <c r="G4909"/>
      <c r="H4909"/>
      <c r="I4909"/>
      <c r="J4909"/>
      <c r="K4909"/>
      <c r="L4909"/>
      <c r="M4909"/>
      <c r="N4909"/>
      <c r="O4909"/>
      <c r="P4909"/>
      <c r="Q4909"/>
      <c r="R4909"/>
      <c r="S4909"/>
    </row>
    <row r="4910" spans="1:19" x14ac:dyDescent="0.25">
      <c r="A4910" s="1"/>
      <c r="B4910"/>
      <c r="C4910"/>
      <c r="D4910"/>
      <c r="E4910"/>
      <c r="F4910"/>
      <c r="G4910"/>
      <c r="H4910"/>
      <c r="I4910"/>
      <c r="J4910"/>
      <c r="K4910"/>
      <c r="L4910"/>
      <c r="M4910"/>
      <c r="N4910"/>
      <c r="O4910"/>
      <c r="P4910"/>
      <c r="Q4910"/>
      <c r="R4910"/>
      <c r="S4910"/>
    </row>
    <row r="4911" spans="1:19" x14ac:dyDescent="0.25">
      <c r="A4911" s="1"/>
      <c r="B4911"/>
      <c r="C4911"/>
      <c r="D4911"/>
      <c r="E4911"/>
      <c r="F4911"/>
      <c r="G4911"/>
      <c r="H4911"/>
      <c r="I4911"/>
      <c r="J4911"/>
      <c r="K4911"/>
      <c r="L4911"/>
      <c r="M4911"/>
      <c r="N4911"/>
      <c r="O4911"/>
      <c r="P4911"/>
      <c r="Q4911"/>
      <c r="R4911"/>
      <c r="S4911"/>
    </row>
    <row r="4912" spans="1:19" x14ac:dyDescent="0.25">
      <c r="A4912" s="1"/>
      <c r="B4912"/>
      <c r="C4912"/>
      <c r="D4912"/>
      <c r="E4912"/>
      <c r="F4912"/>
      <c r="G4912"/>
      <c r="H4912"/>
      <c r="I4912"/>
      <c r="J4912"/>
      <c r="K4912"/>
      <c r="L4912"/>
      <c r="M4912"/>
      <c r="N4912"/>
      <c r="O4912"/>
      <c r="P4912"/>
      <c r="Q4912"/>
      <c r="R4912"/>
      <c r="S4912"/>
    </row>
    <row r="4913" spans="1:19" x14ac:dyDescent="0.25">
      <c r="A4913" s="1"/>
      <c r="B4913"/>
      <c r="C4913"/>
      <c r="D4913"/>
      <c r="E4913"/>
      <c r="F4913"/>
      <c r="G4913"/>
      <c r="H4913"/>
      <c r="I4913"/>
      <c r="J4913"/>
      <c r="K4913"/>
      <c r="L4913"/>
      <c r="M4913"/>
      <c r="N4913"/>
      <c r="O4913"/>
      <c r="P4913"/>
      <c r="Q4913"/>
      <c r="R4913"/>
      <c r="S4913"/>
    </row>
    <row r="4914" spans="1:19" x14ac:dyDescent="0.25">
      <c r="A4914" s="1"/>
      <c r="B4914"/>
      <c r="C4914"/>
      <c r="D4914"/>
      <c r="E4914"/>
      <c r="F4914"/>
      <c r="G4914"/>
      <c r="H4914"/>
      <c r="I4914"/>
      <c r="J4914"/>
      <c r="K4914"/>
      <c r="L4914"/>
      <c r="M4914"/>
      <c r="N4914"/>
      <c r="O4914"/>
      <c r="P4914"/>
      <c r="Q4914"/>
      <c r="R4914"/>
      <c r="S4914"/>
    </row>
    <row r="4915" spans="1:19" x14ac:dyDescent="0.25">
      <c r="A4915" s="1"/>
      <c r="B4915"/>
      <c r="C4915"/>
      <c r="D4915"/>
      <c r="E4915"/>
      <c r="F4915"/>
      <c r="G4915"/>
      <c r="H4915"/>
      <c r="I4915"/>
      <c r="J4915"/>
      <c r="K4915"/>
      <c r="L4915"/>
      <c r="M4915"/>
      <c r="N4915"/>
      <c r="O4915"/>
      <c r="P4915"/>
      <c r="Q4915"/>
      <c r="R4915"/>
      <c r="S4915"/>
    </row>
    <row r="4916" spans="1:19" x14ac:dyDescent="0.25">
      <c r="A4916" s="1"/>
      <c r="B4916"/>
      <c r="C4916"/>
      <c r="D4916"/>
      <c r="E4916"/>
      <c r="F4916"/>
      <c r="G4916"/>
      <c r="H4916"/>
      <c r="I4916"/>
      <c r="J4916"/>
      <c r="K4916"/>
      <c r="L4916"/>
      <c r="M4916"/>
      <c r="N4916"/>
      <c r="O4916"/>
      <c r="P4916"/>
      <c r="Q4916"/>
      <c r="R4916"/>
      <c r="S4916"/>
    </row>
    <row r="4917" spans="1:19" x14ac:dyDescent="0.25">
      <c r="A4917" s="1"/>
      <c r="B4917"/>
      <c r="C4917"/>
      <c r="D4917"/>
      <c r="E4917"/>
      <c r="F4917"/>
      <c r="G4917"/>
      <c r="H4917"/>
      <c r="I4917"/>
      <c r="J4917"/>
      <c r="K4917"/>
      <c r="L4917"/>
      <c r="M4917"/>
      <c r="N4917"/>
      <c r="O4917"/>
      <c r="P4917"/>
      <c r="Q4917"/>
      <c r="R4917"/>
      <c r="S4917"/>
    </row>
    <row r="4918" spans="1:19" x14ac:dyDescent="0.25">
      <c r="A4918" s="1"/>
      <c r="B4918"/>
      <c r="C4918"/>
      <c r="D4918"/>
      <c r="E4918"/>
      <c r="F4918"/>
      <c r="G4918"/>
      <c r="H4918"/>
      <c r="I4918"/>
      <c r="J4918"/>
      <c r="K4918"/>
      <c r="L4918"/>
      <c r="M4918"/>
      <c r="N4918"/>
      <c r="O4918"/>
      <c r="P4918"/>
      <c r="Q4918"/>
      <c r="R4918"/>
      <c r="S4918"/>
    </row>
    <row r="4919" spans="1:19" x14ac:dyDescent="0.25">
      <c r="A4919" s="1"/>
      <c r="B4919"/>
      <c r="C4919"/>
      <c r="D4919"/>
      <c r="E4919"/>
      <c r="F4919"/>
      <c r="G4919"/>
      <c r="H4919"/>
      <c r="I4919"/>
      <c r="J4919"/>
      <c r="K4919"/>
      <c r="L4919"/>
      <c r="M4919"/>
      <c r="N4919"/>
      <c r="O4919"/>
      <c r="P4919"/>
      <c r="Q4919"/>
      <c r="R4919"/>
      <c r="S4919"/>
    </row>
    <row r="4920" spans="1:19" x14ac:dyDescent="0.25">
      <c r="A4920" s="1"/>
      <c r="B4920"/>
      <c r="C4920"/>
      <c r="D4920"/>
      <c r="E4920"/>
      <c r="F4920"/>
      <c r="G4920"/>
      <c r="H4920"/>
      <c r="I4920"/>
      <c r="J4920"/>
      <c r="K4920"/>
      <c r="L4920"/>
      <c r="M4920"/>
      <c r="N4920"/>
      <c r="O4920"/>
      <c r="P4920"/>
      <c r="Q4920"/>
      <c r="R4920"/>
      <c r="S4920"/>
    </row>
    <row r="4921" spans="1:19" x14ac:dyDescent="0.25">
      <c r="A4921" s="1"/>
      <c r="B4921"/>
      <c r="C4921"/>
      <c r="D4921"/>
      <c r="E4921"/>
      <c r="F4921"/>
      <c r="G4921"/>
      <c r="H4921"/>
      <c r="I4921"/>
      <c r="J4921"/>
      <c r="K4921"/>
      <c r="L4921"/>
      <c r="M4921"/>
      <c r="N4921"/>
      <c r="O4921"/>
      <c r="P4921"/>
      <c r="Q4921"/>
      <c r="R4921"/>
      <c r="S4921"/>
    </row>
    <row r="4922" spans="1:19" x14ac:dyDescent="0.25">
      <c r="A4922" s="1"/>
      <c r="B4922"/>
      <c r="C4922"/>
      <c r="D4922"/>
      <c r="E4922"/>
      <c r="F4922"/>
      <c r="G4922"/>
      <c r="H4922"/>
      <c r="I4922"/>
      <c r="J4922"/>
      <c r="K4922"/>
      <c r="L4922"/>
      <c r="M4922"/>
      <c r="N4922"/>
      <c r="O4922"/>
      <c r="P4922"/>
      <c r="Q4922"/>
      <c r="R4922"/>
      <c r="S4922"/>
    </row>
    <row r="4923" spans="1:19" x14ac:dyDescent="0.25">
      <c r="A4923" s="1"/>
      <c r="B4923"/>
      <c r="C4923"/>
      <c r="D4923"/>
      <c r="E4923"/>
      <c r="F4923"/>
      <c r="G4923"/>
      <c r="H4923"/>
      <c r="I4923"/>
      <c r="J4923"/>
      <c r="K4923"/>
      <c r="L4923"/>
      <c r="M4923"/>
      <c r="N4923"/>
      <c r="O4923"/>
      <c r="P4923"/>
      <c r="Q4923"/>
      <c r="R4923"/>
      <c r="S4923"/>
    </row>
    <row r="4924" spans="1:19" x14ac:dyDescent="0.25">
      <c r="A4924" s="1"/>
      <c r="B4924"/>
      <c r="C4924"/>
      <c r="D4924"/>
      <c r="E4924"/>
      <c r="F4924"/>
      <c r="G4924"/>
      <c r="H4924"/>
      <c r="I4924"/>
      <c r="J4924"/>
      <c r="K4924"/>
      <c r="L4924"/>
      <c r="M4924"/>
      <c r="N4924"/>
      <c r="O4924"/>
      <c r="P4924"/>
      <c r="Q4924"/>
      <c r="R4924"/>
      <c r="S4924"/>
    </row>
    <row r="4925" spans="1:19" x14ac:dyDescent="0.25">
      <c r="A4925" s="1"/>
      <c r="B4925"/>
      <c r="C4925"/>
      <c r="D4925"/>
      <c r="E4925"/>
      <c r="F4925"/>
      <c r="G4925"/>
      <c r="H4925"/>
      <c r="I4925"/>
      <c r="J4925"/>
      <c r="K4925"/>
      <c r="L4925"/>
      <c r="M4925"/>
      <c r="N4925"/>
      <c r="O4925"/>
      <c r="P4925"/>
      <c r="Q4925"/>
      <c r="R4925"/>
      <c r="S4925"/>
    </row>
    <row r="4926" spans="1:19" x14ac:dyDescent="0.25">
      <c r="A4926" s="1"/>
      <c r="B4926"/>
      <c r="C4926"/>
      <c r="D4926"/>
      <c r="E4926"/>
      <c r="F4926"/>
      <c r="G4926"/>
      <c r="H4926"/>
      <c r="I4926"/>
      <c r="J4926"/>
      <c r="K4926"/>
      <c r="L4926"/>
      <c r="M4926"/>
      <c r="N4926"/>
      <c r="O4926"/>
      <c r="P4926"/>
      <c r="Q4926"/>
      <c r="R4926"/>
      <c r="S4926"/>
    </row>
    <row r="4927" spans="1:19" x14ac:dyDescent="0.25">
      <c r="A4927" s="1"/>
      <c r="B4927"/>
      <c r="C4927"/>
      <c r="D4927"/>
      <c r="E4927"/>
      <c r="F4927"/>
      <c r="G4927"/>
      <c r="H4927"/>
      <c r="I4927"/>
      <c r="J4927"/>
      <c r="K4927"/>
      <c r="L4927"/>
      <c r="M4927"/>
      <c r="N4927"/>
      <c r="O4927"/>
      <c r="P4927"/>
      <c r="Q4927"/>
      <c r="R4927"/>
      <c r="S4927"/>
    </row>
    <row r="4928" spans="1:19" x14ac:dyDescent="0.25">
      <c r="A4928" s="1"/>
      <c r="B4928"/>
      <c r="C4928"/>
      <c r="D4928"/>
      <c r="E4928"/>
      <c r="F4928"/>
      <c r="G4928"/>
      <c r="H4928"/>
      <c r="I4928"/>
      <c r="J4928"/>
      <c r="K4928"/>
      <c r="L4928"/>
      <c r="M4928"/>
      <c r="N4928"/>
      <c r="O4928"/>
      <c r="P4928"/>
      <c r="Q4928"/>
      <c r="R4928"/>
      <c r="S4928"/>
    </row>
    <row r="4929" spans="1:19" x14ac:dyDescent="0.25">
      <c r="A4929" s="1"/>
      <c r="B4929"/>
      <c r="C4929"/>
      <c r="D4929"/>
      <c r="E4929"/>
      <c r="F4929"/>
      <c r="G4929"/>
      <c r="H4929"/>
      <c r="I4929"/>
      <c r="J4929"/>
      <c r="K4929"/>
      <c r="L4929"/>
      <c r="M4929"/>
      <c r="N4929"/>
      <c r="O4929"/>
      <c r="P4929"/>
      <c r="Q4929"/>
      <c r="R4929"/>
      <c r="S4929"/>
    </row>
    <row r="4930" spans="1:19" x14ac:dyDescent="0.25">
      <c r="A4930" s="1"/>
      <c r="B4930"/>
      <c r="C4930"/>
      <c r="D4930"/>
      <c r="E4930"/>
      <c r="F4930"/>
      <c r="G4930"/>
      <c r="H4930"/>
      <c r="I4930"/>
      <c r="J4930"/>
      <c r="K4930"/>
      <c r="L4930"/>
      <c r="M4930"/>
      <c r="N4930"/>
      <c r="O4930"/>
      <c r="P4930"/>
      <c r="Q4930"/>
      <c r="R4930"/>
      <c r="S4930"/>
    </row>
    <row r="4931" spans="1:19" x14ac:dyDescent="0.25">
      <c r="A4931" s="1"/>
      <c r="B4931"/>
      <c r="C4931"/>
      <c r="D4931"/>
      <c r="E4931"/>
      <c r="F4931"/>
      <c r="G4931"/>
      <c r="H4931"/>
      <c r="I4931"/>
      <c r="J4931"/>
      <c r="K4931"/>
      <c r="L4931"/>
      <c r="M4931"/>
      <c r="N4931"/>
      <c r="O4931"/>
      <c r="P4931"/>
      <c r="Q4931"/>
      <c r="R4931"/>
      <c r="S4931"/>
    </row>
    <row r="4932" spans="1:19" x14ac:dyDescent="0.25">
      <c r="A4932" s="1"/>
      <c r="B4932"/>
      <c r="C4932"/>
      <c r="D4932"/>
      <c r="E4932"/>
      <c r="F4932"/>
      <c r="G4932"/>
      <c r="H4932"/>
      <c r="I4932"/>
      <c r="J4932"/>
      <c r="K4932"/>
      <c r="L4932"/>
      <c r="M4932"/>
      <c r="N4932"/>
      <c r="O4932"/>
      <c r="P4932"/>
      <c r="Q4932"/>
      <c r="R4932"/>
      <c r="S4932"/>
    </row>
    <row r="4933" spans="1:19" x14ac:dyDescent="0.25">
      <c r="A4933" s="1"/>
      <c r="B4933"/>
      <c r="C4933"/>
      <c r="D4933"/>
      <c r="E4933"/>
      <c r="F4933"/>
      <c r="G4933"/>
      <c r="H4933"/>
      <c r="I4933"/>
      <c r="J4933"/>
      <c r="K4933"/>
      <c r="L4933"/>
      <c r="M4933"/>
      <c r="N4933"/>
      <c r="O4933"/>
      <c r="P4933"/>
      <c r="Q4933"/>
      <c r="R4933"/>
      <c r="S4933"/>
    </row>
    <row r="4934" spans="1:19" x14ac:dyDescent="0.25">
      <c r="A4934" s="1"/>
      <c r="B4934"/>
      <c r="C4934"/>
      <c r="D4934"/>
      <c r="E4934"/>
      <c r="F4934"/>
      <c r="G4934"/>
      <c r="H4934"/>
      <c r="I4934"/>
      <c r="J4934"/>
      <c r="K4934"/>
      <c r="L4934"/>
      <c r="M4934"/>
      <c r="N4934"/>
      <c r="O4934"/>
      <c r="P4934"/>
      <c r="Q4934"/>
      <c r="R4934"/>
      <c r="S4934"/>
    </row>
    <row r="4935" spans="1:19" x14ac:dyDescent="0.25">
      <c r="A4935" s="1"/>
      <c r="B4935"/>
      <c r="C4935"/>
      <c r="D4935"/>
      <c r="E4935"/>
      <c r="F4935"/>
      <c r="G4935"/>
      <c r="H4935"/>
      <c r="I4935"/>
      <c r="J4935"/>
      <c r="K4935"/>
      <c r="L4935"/>
      <c r="M4935"/>
      <c r="N4935"/>
      <c r="O4935"/>
      <c r="P4935"/>
      <c r="Q4935"/>
      <c r="R4935"/>
      <c r="S4935"/>
    </row>
    <row r="4936" spans="1:19" x14ac:dyDescent="0.25">
      <c r="A4936" s="1"/>
      <c r="B4936"/>
      <c r="C4936"/>
      <c r="D4936"/>
      <c r="E4936"/>
      <c r="F4936"/>
      <c r="G4936"/>
      <c r="H4936"/>
      <c r="I4936"/>
      <c r="J4936"/>
      <c r="K4936"/>
      <c r="L4936"/>
      <c r="M4936"/>
      <c r="N4936"/>
      <c r="O4936"/>
      <c r="P4936"/>
      <c r="Q4936"/>
      <c r="R4936"/>
      <c r="S4936"/>
    </row>
    <row r="4937" spans="1:19" x14ac:dyDescent="0.25">
      <c r="A4937" s="1"/>
      <c r="B4937"/>
      <c r="C4937"/>
      <c r="D4937"/>
      <c r="E4937"/>
      <c r="F4937"/>
      <c r="G4937"/>
      <c r="H4937"/>
      <c r="I4937"/>
      <c r="J4937"/>
      <c r="K4937"/>
      <c r="L4937"/>
      <c r="M4937"/>
      <c r="N4937"/>
      <c r="O4937"/>
      <c r="P4937"/>
      <c r="Q4937"/>
      <c r="R4937"/>
      <c r="S4937"/>
    </row>
    <row r="4938" spans="1:19" x14ac:dyDescent="0.25">
      <c r="A4938" s="1"/>
      <c r="B4938"/>
      <c r="C4938"/>
      <c r="D4938"/>
      <c r="E4938"/>
      <c r="F4938"/>
      <c r="G4938"/>
      <c r="H4938"/>
      <c r="I4938"/>
      <c r="J4938"/>
      <c r="K4938"/>
      <c r="L4938"/>
      <c r="M4938"/>
      <c r="N4938"/>
      <c r="O4938"/>
      <c r="P4938"/>
      <c r="Q4938"/>
      <c r="R4938"/>
      <c r="S4938"/>
    </row>
    <row r="4939" spans="1:19" x14ac:dyDescent="0.25">
      <c r="A4939" s="1"/>
      <c r="B4939"/>
      <c r="C4939"/>
      <c r="D4939"/>
      <c r="E4939"/>
      <c r="F4939"/>
      <c r="G4939"/>
      <c r="H4939"/>
      <c r="I4939"/>
      <c r="J4939"/>
      <c r="K4939"/>
      <c r="L4939"/>
      <c r="M4939"/>
      <c r="N4939"/>
      <c r="O4939"/>
      <c r="P4939"/>
      <c r="Q4939"/>
      <c r="R4939"/>
      <c r="S4939"/>
    </row>
    <row r="4940" spans="1:19" x14ac:dyDescent="0.25">
      <c r="A4940" s="1"/>
      <c r="B4940"/>
      <c r="C4940"/>
      <c r="D4940"/>
      <c r="E4940"/>
      <c r="F4940"/>
      <c r="G4940"/>
      <c r="H4940"/>
      <c r="I4940"/>
      <c r="J4940"/>
      <c r="K4940"/>
      <c r="L4940"/>
      <c r="M4940"/>
      <c r="N4940"/>
      <c r="O4940"/>
      <c r="P4940"/>
      <c r="Q4940"/>
      <c r="R4940"/>
      <c r="S4940"/>
    </row>
    <row r="4941" spans="1:19" x14ac:dyDescent="0.25">
      <c r="A4941" s="1"/>
      <c r="B4941"/>
      <c r="C4941"/>
      <c r="D4941"/>
      <c r="E4941"/>
      <c r="F4941"/>
      <c r="G4941"/>
      <c r="H4941"/>
      <c r="I4941"/>
      <c r="J4941"/>
      <c r="K4941"/>
      <c r="L4941"/>
      <c r="M4941"/>
      <c r="N4941"/>
      <c r="O4941"/>
      <c r="P4941"/>
      <c r="Q4941"/>
      <c r="R4941"/>
      <c r="S4941"/>
    </row>
    <row r="4942" spans="1:19" x14ac:dyDescent="0.25">
      <c r="A4942" s="1"/>
      <c r="B4942"/>
      <c r="C4942"/>
      <c r="D4942"/>
      <c r="E4942"/>
      <c r="F4942"/>
      <c r="G4942"/>
      <c r="H4942"/>
      <c r="I4942"/>
      <c r="J4942"/>
      <c r="K4942"/>
      <c r="L4942"/>
      <c r="M4942"/>
      <c r="N4942"/>
      <c r="O4942"/>
      <c r="P4942"/>
      <c r="Q4942"/>
      <c r="R4942"/>
      <c r="S4942"/>
    </row>
    <row r="4943" spans="1:19" x14ac:dyDescent="0.25">
      <c r="A4943" s="1"/>
      <c r="B4943"/>
      <c r="C4943"/>
      <c r="D4943"/>
      <c r="E4943"/>
      <c r="F4943"/>
      <c r="G4943"/>
      <c r="H4943"/>
      <c r="I4943"/>
      <c r="J4943"/>
      <c r="K4943"/>
      <c r="L4943"/>
      <c r="M4943"/>
      <c r="N4943"/>
      <c r="O4943"/>
      <c r="P4943"/>
      <c r="Q4943"/>
      <c r="R4943"/>
      <c r="S4943"/>
    </row>
    <row r="4944" spans="1:19" x14ac:dyDescent="0.25">
      <c r="A4944" s="1"/>
      <c r="B4944"/>
      <c r="C4944"/>
      <c r="D4944"/>
      <c r="E4944"/>
      <c r="F4944"/>
      <c r="G4944"/>
      <c r="H4944"/>
      <c r="I4944"/>
      <c r="J4944"/>
      <c r="K4944"/>
      <c r="L4944"/>
      <c r="M4944"/>
      <c r="N4944"/>
      <c r="O4944"/>
      <c r="P4944"/>
      <c r="Q4944"/>
      <c r="R4944"/>
      <c r="S4944"/>
    </row>
    <row r="4945" spans="1:19" x14ac:dyDescent="0.25">
      <c r="A4945" s="1"/>
      <c r="B4945"/>
      <c r="C4945"/>
      <c r="D4945"/>
      <c r="E4945"/>
      <c r="F4945"/>
      <c r="G4945"/>
      <c r="H4945"/>
      <c r="I4945"/>
      <c r="J4945"/>
      <c r="K4945"/>
      <c r="L4945"/>
      <c r="M4945"/>
      <c r="N4945"/>
      <c r="O4945"/>
      <c r="P4945"/>
      <c r="Q4945"/>
      <c r="R4945"/>
      <c r="S4945"/>
    </row>
    <row r="4946" spans="1:19" x14ac:dyDescent="0.25">
      <c r="A4946" s="1"/>
      <c r="B4946"/>
      <c r="C4946"/>
      <c r="D4946"/>
      <c r="E4946"/>
      <c r="F4946"/>
      <c r="G4946"/>
      <c r="H4946"/>
      <c r="I4946"/>
      <c r="J4946"/>
      <c r="K4946"/>
      <c r="L4946"/>
      <c r="M4946"/>
      <c r="N4946"/>
      <c r="O4946"/>
      <c r="P4946"/>
      <c r="Q4946"/>
      <c r="R4946"/>
      <c r="S4946"/>
    </row>
    <row r="4947" spans="1:19" x14ac:dyDescent="0.25">
      <c r="A4947" s="1"/>
      <c r="B4947"/>
      <c r="C4947"/>
      <c r="D4947"/>
      <c r="E4947"/>
      <c r="F4947"/>
      <c r="G4947"/>
      <c r="H4947"/>
      <c r="I4947"/>
      <c r="J4947"/>
      <c r="K4947"/>
      <c r="L4947"/>
      <c r="M4947"/>
      <c r="N4947"/>
      <c r="O4947"/>
      <c r="P4947"/>
      <c r="Q4947"/>
      <c r="R4947"/>
      <c r="S4947"/>
    </row>
    <row r="4948" spans="1:19" x14ac:dyDescent="0.25">
      <c r="A4948" s="1"/>
      <c r="B4948"/>
      <c r="C4948"/>
      <c r="D4948"/>
      <c r="E4948"/>
      <c r="F4948"/>
      <c r="G4948"/>
      <c r="H4948"/>
      <c r="I4948"/>
      <c r="J4948"/>
      <c r="K4948"/>
      <c r="L4948"/>
      <c r="M4948"/>
      <c r="N4948"/>
      <c r="O4948"/>
      <c r="P4948"/>
      <c r="Q4948"/>
      <c r="R4948"/>
      <c r="S4948"/>
    </row>
    <row r="4949" spans="1:19" x14ac:dyDescent="0.25">
      <c r="A4949" s="1"/>
      <c r="B4949"/>
      <c r="C4949"/>
      <c r="D4949"/>
      <c r="E4949"/>
      <c r="F4949"/>
      <c r="G4949"/>
      <c r="H4949"/>
      <c r="I4949"/>
      <c r="J4949"/>
      <c r="K4949"/>
      <c r="L4949"/>
      <c r="M4949"/>
      <c r="N4949"/>
      <c r="O4949"/>
      <c r="P4949"/>
      <c r="Q4949"/>
      <c r="R4949"/>
      <c r="S4949"/>
    </row>
    <row r="4950" spans="1:19" x14ac:dyDescent="0.25">
      <c r="A4950" s="1"/>
      <c r="B4950"/>
      <c r="C4950"/>
      <c r="D4950"/>
      <c r="E4950"/>
      <c r="F4950"/>
      <c r="G4950"/>
      <c r="H4950"/>
      <c r="I4950"/>
      <c r="J4950"/>
      <c r="K4950"/>
      <c r="L4950"/>
      <c r="M4950"/>
      <c r="N4950"/>
      <c r="O4950"/>
      <c r="P4950"/>
      <c r="Q4950"/>
      <c r="R4950"/>
      <c r="S4950"/>
    </row>
    <row r="4951" spans="1:19" x14ac:dyDescent="0.25">
      <c r="A4951" s="1"/>
      <c r="B4951"/>
      <c r="C4951"/>
      <c r="D4951"/>
      <c r="E4951"/>
      <c r="F4951"/>
      <c r="G4951"/>
      <c r="H4951"/>
      <c r="I4951"/>
      <c r="J4951"/>
      <c r="K4951"/>
      <c r="L4951"/>
      <c r="M4951"/>
      <c r="N4951"/>
      <c r="O4951"/>
      <c r="P4951"/>
      <c r="Q4951"/>
      <c r="R4951"/>
      <c r="S4951"/>
    </row>
    <row r="4952" spans="1:19" x14ac:dyDescent="0.25">
      <c r="A4952" s="1"/>
      <c r="B4952"/>
      <c r="C4952"/>
      <c r="D4952"/>
      <c r="E4952"/>
      <c r="F4952"/>
      <c r="G4952"/>
      <c r="H4952"/>
      <c r="I4952"/>
      <c r="J4952"/>
      <c r="K4952"/>
      <c r="L4952"/>
      <c r="M4952"/>
      <c r="N4952"/>
      <c r="O4952"/>
      <c r="P4952"/>
      <c r="Q4952"/>
      <c r="R4952"/>
      <c r="S4952"/>
    </row>
    <row r="4953" spans="1:19" x14ac:dyDescent="0.25">
      <c r="A4953" s="1"/>
      <c r="B4953"/>
      <c r="C4953"/>
      <c r="D4953"/>
      <c r="E4953"/>
      <c r="F4953"/>
      <c r="G4953"/>
      <c r="H4953"/>
      <c r="I4953"/>
      <c r="J4953"/>
      <c r="K4953"/>
      <c r="L4953"/>
      <c r="M4953"/>
      <c r="N4953"/>
      <c r="O4953"/>
      <c r="P4953"/>
      <c r="Q4953"/>
      <c r="R4953"/>
      <c r="S4953"/>
    </row>
    <row r="4954" spans="1:19" x14ac:dyDescent="0.25">
      <c r="A4954" s="1"/>
      <c r="B4954"/>
      <c r="C4954"/>
      <c r="D4954"/>
      <c r="E4954"/>
      <c r="F4954"/>
      <c r="G4954"/>
      <c r="H4954"/>
      <c r="I4954"/>
      <c r="J4954"/>
      <c r="K4954"/>
      <c r="L4954"/>
      <c r="M4954"/>
      <c r="N4954"/>
      <c r="O4954"/>
      <c r="P4954"/>
      <c r="Q4954"/>
      <c r="R4954"/>
      <c r="S4954"/>
    </row>
    <row r="4955" spans="1:19" x14ac:dyDescent="0.25">
      <c r="A4955" s="1"/>
      <c r="B4955"/>
      <c r="C4955"/>
      <c r="D4955"/>
      <c r="E4955"/>
      <c r="F4955"/>
      <c r="G4955"/>
      <c r="H4955"/>
      <c r="I4955"/>
      <c r="J4955"/>
      <c r="K4955"/>
      <c r="L4955"/>
      <c r="M4955"/>
      <c r="N4955"/>
      <c r="O4955"/>
      <c r="P4955"/>
      <c r="Q4955"/>
      <c r="R4955"/>
      <c r="S4955"/>
    </row>
    <row r="4956" spans="1:19" x14ac:dyDescent="0.25">
      <c r="A4956" s="1"/>
      <c r="B4956"/>
      <c r="C4956"/>
      <c r="D4956"/>
      <c r="E4956"/>
      <c r="F4956"/>
      <c r="G4956"/>
      <c r="H4956"/>
      <c r="I4956"/>
      <c r="J4956"/>
      <c r="K4956"/>
      <c r="L4956"/>
      <c r="M4956"/>
      <c r="N4956"/>
      <c r="O4956"/>
      <c r="P4956"/>
      <c r="Q4956"/>
      <c r="R4956"/>
      <c r="S4956"/>
    </row>
    <row r="4957" spans="1:19" x14ac:dyDescent="0.25">
      <c r="A4957" s="1"/>
      <c r="B4957"/>
      <c r="C4957"/>
      <c r="D4957"/>
      <c r="E4957"/>
      <c r="F4957"/>
      <c r="G4957"/>
      <c r="H4957"/>
      <c r="I4957"/>
      <c r="J4957"/>
      <c r="K4957"/>
      <c r="L4957"/>
      <c r="M4957"/>
      <c r="N4957"/>
      <c r="O4957"/>
      <c r="P4957"/>
      <c r="Q4957"/>
      <c r="R4957"/>
      <c r="S4957"/>
    </row>
    <row r="4958" spans="1:19" x14ac:dyDescent="0.25">
      <c r="A4958" s="1"/>
      <c r="B4958"/>
      <c r="C4958"/>
      <c r="D4958"/>
      <c r="E4958"/>
      <c r="F4958"/>
      <c r="G4958"/>
      <c r="H4958"/>
      <c r="I4958"/>
      <c r="J4958"/>
      <c r="K4958"/>
      <c r="L4958"/>
      <c r="M4958"/>
      <c r="N4958"/>
      <c r="O4958"/>
      <c r="P4958"/>
      <c r="Q4958"/>
      <c r="R4958"/>
      <c r="S4958"/>
    </row>
    <row r="4959" spans="1:19" x14ac:dyDescent="0.25">
      <c r="A4959" s="1"/>
      <c r="B4959"/>
      <c r="C4959"/>
      <c r="D4959"/>
      <c r="E4959"/>
      <c r="F4959"/>
      <c r="G4959"/>
      <c r="H4959"/>
      <c r="I4959"/>
      <c r="J4959"/>
      <c r="K4959"/>
      <c r="L4959"/>
      <c r="M4959"/>
      <c r="N4959"/>
      <c r="O4959"/>
      <c r="P4959"/>
      <c r="Q4959"/>
      <c r="R4959"/>
      <c r="S4959"/>
    </row>
    <row r="4960" spans="1:19" x14ac:dyDescent="0.25">
      <c r="A4960" s="1"/>
      <c r="B4960"/>
      <c r="C4960"/>
      <c r="D4960"/>
      <c r="E4960"/>
      <c r="F4960"/>
      <c r="G4960"/>
      <c r="H4960"/>
      <c r="I4960"/>
      <c r="J4960"/>
      <c r="K4960"/>
      <c r="L4960"/>
      <c r="M4960"/>
      <c r="N4960"/>
      <c r="O4960"/>
      <c r="P4960"/>
      <c r="Q4960"/>
      <c r="R4960"/>
      <c r="S4960"/>
    </row>
    <row r="4961" spans="1:19" x14ac:dyDescent="0.25">
      <c r="A4961" s="1"/>
      <c r="B4961"/>
      <c r="C4961"/>
      <c r="D4961"/>
      <c r="E4961"/>
      <c r="F4961"/>
      <c r="G4961"/>
      <c r="H4961"/>
      <c r="I4961"/>
      <c r="J4961"/>
      <c r="K4961"/>
      <c r="L4961"/>
      <c r="M4961"/>
      <c r="N4961"/>
      <c r="O4961"/>
      <c r="P4961"/>
      <c r="Q4961"/>
      <c r="R4961"/>
      <c r="S4961"/>
    </row>
    <row r="4962" spans="1:19" x14ac:dyDescent="0.25">
      <c r="A4962" s="1"/>
      <c r="B4962"/>
      <c r="C4962"/>
      <c r="D4962"/>
      <c r="E4962"/>
      <c r="F4962"/>
      <c r="G4962"/>
      <c r="H4962"/>
      <c r="I4962"/>
      <c r="J4962"/>
      <c r="K4962"/>
      <c r="L4962"/>
      <c r="M4962"/>
      <c r="N4962"/>
      <c r="O4962"/>
      <c r="P4962"/>
      <c r="Q4962"/>
      <c r="R4962"/>
      <c r="S4962"/>
    </row>
    <row r="4963" spans="1:19" x14ac:dyDescent="0.25">
      <c r="A4963" s="1"/>
      <c r="B4963"/>
      <c r="C4963"/>
      <c r="D4963"/>
      <c r="E4963"/>
      <c r="F4963"/>
      <c r="G4963"/>
      <c r="H4963"/>
      <c r="I4963"/>
      <c r="J4963"/>
      <c r="K4963"/>
      <c r="L4963"/>
      <c r="M4963"/>
      <c r="N4963"/>
      <c r="O4963"/>
      <c r="P4963"/>
      <c r="Q4963"/>
      <c r="R4963"/>
      <c r="S4963"/>
    </row>
    <row r="4964" spans="1:19" x14ac:dyDescent="0.25">
      <c r="A4964" s="1"/>
      <c r="B4964"/>
      <c r="C4964"/>
      <c r="D4964"/>
      <c r="E4964"/>
      <c r="F4964"/>
      <c r="G4964"/>
      <c r="H4964"/>
      <c r="I4964"/>
      <c r="J4964"/>
      <c r="K4964"/>
      <c r="L4964"/>
      <c r="M4964"/>
      <c r="N4964"/>
      <c r="O4964"/>
      <c r="P4964"/>
      <c r="Q4964"/>
      <c r="R4964"/>
      <c r="S4964"/>
    </row>
    <row r="4965" spans="1:19" x14ac:dyDescent="0.25">
      <c r="A4965" s="1"/>
      <c r="B4965"/>
      <c r="C4965"/>
      <c r="D4965"/>
      <c r="E4965"/>
      <c r="F4965"/>
      <c r="G4965"/>
      <c r="H4965"/>
      <c r="I4965"/>
      <c r="J4965"/>
      <c r="K4965"/>
      <c r="L4965"/>
      <c r="M4965"/>
      <c r="N4965"/>
      <c r="O4965"/>
      <c r="P4965"/>
      <c r="Q4965"/>
      <c r="R4965"/>
      <c r="S4965"/>
    </row>
    <row r="4966" spans="1:19" x14ac:dyDescent="0.25">
      <c r="A4966" s="1"/>
      <c r="B4966"/>
      <c r="C4966"/>
      <c r="D4966"/>
      <c r="E4966"/>
      <c r="F4966"/>
      <c r="G4966"/>
      <c r="H4966"/>
      <c r="I4966"/>
      <c r="J4966"/>
      <c r="K4966"/>
      <c r="L4966"/>
      <c r="M4966"/>
      <c r="N4966"/>
      <c r="O4966"/>
      <c r="P4966"/>
      <c r="Q4966"/>
      <c r="R4966"/>
      <c r="S4966"/>
    </row>
    <row r="4967" spans="1:19" x14ac:dyDescent="0.25">
      <c r="A4967" s="1"/>
      <c r="B4967"/>
      <c r="C4967"/>
      <c r="D4967"/>
      <c r="E4967"/>
      <c r="F4967"/>
      <c r="G4967"/>
      <c r="H4967"/>
      <c r="I4967"/>
      <c r="J4967"/>
      <c r="K4967"/>
      <c r="L4967"/>
      <c r="M4967"/>
      <c r="N4967"/>
      <c r="O4967"/>
      <c r="P4967"/>
      <c r="Q4967"/>
      <c r="R4967"/>
      <c r="S4967"/>
    </row>
    <row r="4968" spans="1:19" x14ac:dyDescent="0.25">
      <c r="A4968" s="1"/>
      <c r="B4968"/>
      <c r="C4968"/>
      <c r="D4968"/>
      <c r="E4968"/>
      <c r="F4968"/>
      <c r="G4968"/>
      <c r="H4968"/>
      <c r="I4968"/>
      <c r="J4968"/>
      <c r="K4968"/>
      <c r="L4968"/>
      <c r="M4968"/>
      <c r="N4968"/>
      <c r="O4968"/>
      <c r="P4968"/>
      <c r="Q4968"/>
      <c r="R4968"/>
      <c r="S4968"/>
    </row>
    <row r="4969" spans="1:19" x14ac:dyDescent="0.25">
      <c r="A4969" s="1"/>
      <c r="B4969"/>
      <c r="C4969"/>
      <c r="D4969"/>
      <c r="E4969"/>
      <c r="F4969"/>
      <c r="G4969"/>
      <c r="H4969"/>
      <c r="I4969"/>
      <c r="J4969"/>
      <c r="K4969"/>
      <c r="L4969"/>
      <c r="M4969"/>
      <c r="N4969"/>
      <c r="O4969"/>
      <c r="P4969"/>
      <c r="Q4969"/>
      <c r="R4969"/>
      <c r="S4969"/>
    </row>
    <row r="4970" spans="1:19" x14ac:dyDescent="0.25">
      <c r="A4970" s="1"/>
      <c r="B4970"/>
      <c r="C4970"/>
      <c r="D4970"/>
      <c r="E4970"/>
      <c r="F4970"/>
      <c r="G4970"/>
      <c r="H4970"/>
      <c r="I4970"/>
      <c r="J4970"/>
      <c r="K4970"/>
      <c r="L4970"/>
      <c r="M4970"/>
      <c r="N4970"/>
      <c r="O4970"/>
      <c r="P4970"/>
      <c r="Q4970"/>
      <c r="R4970"/>
      <c r="S4970"/>
    </row>
    <row r="4971" spans="1:19" x14ac:dyDescent="0.25">
      <c r="A4971" s="1"/>
      <c r="B4971"/>
      <c r="C4971"/>
      <c r="D4971"/>
      <c r="E4971"/>
      <c r="F4971"/>
      <c r="G4971"/>
      <c r="H4971"/>
      <c r="I4971"/>
      <c r="J4971"/>
      <c r="K4971"/>
      <c r="L4971"/>
      <c r="M4971"/>
      <c r="N4971"/>
      <c r="O4971"/>
      <c r="P4971"/>
      <c r="Q4971"/>
      <c r="R4971"/>
      <c r="S4971"/>
    </row>
    <row r="4972" spans="1:19" x14ac:dyDescent="0.25">
      <c r="A4972" s="1"/>
      <c r="B4972"/>
      <c r="C4972"/>
      <c r="D4972"/>
      <c r="E4972"/>
      <c r="F4972"/>
      <c r="G4972"/>
      <c r="H4972"/>
      <c r="I4972"/>
      <c r="J4972"/>
      <c r="K4972"/>
      <c r="L4972"/>
      <c r="M4972"/>
      <c r="N4972"/>
      <c r="O4972"/>
      <c r="P4972"/>
      <c r="Q4972"/>
      <c r="R4972"/>
      <c r="S4972"/>
    </row>
    <row r="4973" spans="1:19" x14ac:dyDescent="0.25">
      <c r="A4973" s="1"/>
      <c r="B4973"/>
      <c r="C4973"/>
      <c r="D4973"/>
      <c r="E4973"/>
      <c r="F4973"/>
      <c r="G4973"/>
      <c r="H4973"/>
      <c r="I4973"/>
      <c r="J4973"/>
      <c r="K4973"/>
      <c r="L4973"/>
      <c r="M4973"/>
      <c r="N4973"/>
      <c r="O4973"/>
      <c r="P4973"/>
      <c r="Q4973"/>
      <c r="R4973"/>
      <c r="S4973"/>
    </row>
    <row r="4974" spans="1:19" x14ac:dyDescent="0.25">
      <c r="A4974" s="1"/>
      <c r="B4974"/>
      <c r="C4974"/>
      <c r="D4974"/>
      <c r="E4974"/>
      <c r="F4974"/>
      <c r="G4974"/>
      <c r="H4974"/>
      <c r="I4974"/>
      <c r="J4974"/>
      <c r="K4974"/>
      <c r="L4974"/>
      <c r="M4974"/>
      <c r="N4974"/>
      <c r="O4974"/>
      <c r="P4974"/>
      <c r="Q4974"/>
      <c r="R4974"/>
      <c r="S4974"/>
    </row>
    <row r="4975" spans="1:19" x14ac:dyDescent="0.25">
      <c r="A4975" s="1"/>
      <c r="B4975"/>
      <c r="C4975"/>
      <c r="D4975"/>
      <c r="E4975"/>
      <c r="F4975"/>
      <c r="G4975"/>
      <c r="H4975"/>
      <c r="I4975"/>
      <c r="J4975"/>
      <c r="K4975"/>
      <c r="L4975"/>
      <c r="M4975"/>
      <c r="N4975"/>
      <c r="O4975"/>
      <c r="P4975"/>
      <c r="Q4975"/>
      <c r="R4975"/>
      <c r="S4975"/>
    </row>
    <row r="4976" spans="1:19" x14ac:dyDescent="0.25">
      <c r="A4976" s="1"/>
      <c r="B4976"/>
      <c r="C4976"/>
      <c r="D4976"/>
      <c r="E4976"/>
      <c r="F4976"/>
      <c r="G4976"/>
      <c r="H4976"/>
      <c r="I4976"/>
      <c r="J4976"/>
      <c r="K4976"/>
      <c r="L4976"/>
      <c r="M4976"/>
      <c r="N4976"/>
      <c r="O4976"/>
      <c r="P4976"/>
      <c r="Q4976"/>
      <c r="R4976"/>
      <c r="S4976"/>
    </row>
    <row r="4977" spans="1:19" x14ac:dyDescent="0.25">
      <c r="A4977" s="1"/>
      <c r="B4977"/>
      <c r="C4977"/>
      <c r="D4977"/>
      <c r="E4977"/>
      <c r="F4977"/>
      <c r="G4977"/>
      <c r="H4977"/>
      <c r="I4977"/>
      <c r="J4977"/>
      <c r="K4977"/>
      <c r="L4977"/>
      <c r="M4977"/>
      <c r="N4977"/>
      <c r="O4977"/>
      <c r="P4977"/>
      <c r="Q4977"/>
      <c r="R4977"/>
      <c r="S4977"/>
    </row>
    <row r="4978" spans="1:19" x14ac:dyDescent="0.25">
      <c r="A4978" s="1"/>
      <c r="B4978"/>
      <c r="C4978"/>
      <c r="D4978"/>
      <c r="E4978"/>
      <c r="F4978"/>
      <c r="G4978"/>
      <c r="H4978"/>
      <c r="I4978"/>
      <c r="J4978"/>
      <c r="K4978"/>
      <c r="L4978"/>
      <c r="M4978"/>
      <c r="N4978"/>
      <c r="O4978"/>
      <c r="P4978"/>
      <c r="Q4978"/>
      <c r="R4978"/>
      <c r="S4978"/>
    </row>
    <row r="4979" spans="1:19" x14ac:dyDescent="0.25">
      <c r="A4979" s="1"/>
      <c r="B4979"/>
      <c r="C4979"/>
      <c r="D4979"/>
      <c r="E4979"/>
      <c r="F4979"/>
      <c r="G4979"/>
      <c r="H4979"/>
      <c r="I4979"/>
      <c r="J4979"/>
      <c r="K4979"/>
      <c r="L4979"/>
      <c r="M4979"/>
      <c r="N4979"/>
      <c r="O4979"/>
      <c r="P4979"/>
      <c r="Q4979"/>
      <c r="R4979"/>
      <c r="S4979"/>
    </row>
    <row r="4980" spans="1:19" x14ac:dyDescent="0.25">
      <c r="A4980" s="1"/>
      <c r="B4980"/>
      <c r="C4980"/>
      <c r="D4980"/>
      <c r="E4980"/>
      <c r="F4980"/>
      <c r="G4980"/>
      <c r="H4980"/>
      <c r="I4980"/>
      <c r="J4980"/>
      <c r="K4980"/>
      <c r="L4980"/>
      <c r="M4980"/>
      <c r="N4980"/>
      <c r="O4980"/>
      <c r="P4980"/>
      <c r="Q4980"/>
      <c r="R4980"/>
      <c r="S4980"/>
    </row>
    <row r="4981" spans="1:19" x14ac:dyDescent="0.25">
      <c r="A4981" s="1"/>
      <c r="B4981"/>
      <c r="C4981"/>
      <c r="D4981"/>
      <c r="E4981"/>
      <c r="F4981"/>
      <c r="G4981"/>
      <c r="H4981"/>
      <c r="I4981"/>
      <c r="J4981"/>
      <c r="K4981"/>
      <c r="L4981"/>
      <c r="M4981"/>
      <c r="N4981"/>
      <c r="O4981"/>
      <c r="P4981"/>
      <c r="Q4981"/>
      <c r="R4981"/>
      <c r="S4981"/>
    </row>
    <row r="4982" spans="1:19" x14ac:dyDescent="0.25">
      <c r="A4982" s="1"/>
      <c r="B4982"/>
      <c r="C4982"/>
      <c r="D4982"/>
      <c r="E4982"/>
      <c r="F4982"/>
      <c r="G4982"/>
      <c r="H4982"/>
      <c r="I4982"/>
      <c r="J4982"/>
      <c r="K4982"/>
      <c r="L4982"/>
      <c r="M4982"/>
      <c r="N4982"/>
      <c r="O4982"/>
      <c r="P4982"/>
      <c r="Q4982"/>
      <c r="R4982"/>
      <c r="S4982"/>
    </row>
    <row r="4983" spans="1:19" x14ac:dyDescent="0.25">
      <c r="A4983" s="1"/>
      <c r="B4983"/>
      <c r="C4983"/>
      <c r="D4983"/>
      <c r="E4983"/>
      <c r="F4983"/>
      <c r="G4983"/>
      <c r="H4983"/>
      <c r="I4983"/>
      <c r="J4983"/>
      <c r="K4983"/>
      <c r="L4983"/>
      <c r="M4983"/>
      <c r="N4983"/>
      <c r="O4983"/>
      <c r="P4983"/>
      <c r="Q4983"/>
      <c r="R4983"/>
      <c r="S4983"/>
    </row>
    <row r="4984" spans="1:19" x14ac:dyDescent="0.25">
      <c r="A4984" s="1"/>
      <c r="B4984"/>
      <c r="C4984"/>
      <c r="D4984"/>
      <c r="E4984"/>
      <c r="F4984"/>
      <c r="G4984"/>
      <c r="H4984"/>
      <c r="I4984"/>
      <c r="J4984"/>
      <c r="K4984"/>
      <c r="L4984"/>
      <c r="M4984"/>
      <c r="N4984"/>
      <c r="O4984"/>
      <c r="P4984"/>
      <c r="Q4984"/>
      <c r="R4984"/>
      <c r="S4984"/>
    </row>
    <row r="4985" spans="1:19" x14ac:dyDescent="0.25">
      <c r="A4985" s="1"/>
      <c r="B4985"/>
      <c r="C4985"/>
      <c r="D4985"/>
      <c r="E4985"/>
      <c r="F4985"/>
      <c r="G4985"/>
      <c r="H4985"/>
      <c r="I4985"/>
      <c r="J4985"/>
      <c r="K4985"/>
      <c r="L4985"/>
      <c r="M4985"/>
      <c r="N4985"/>
      <c r="O4985"/>
      <c r="P4985"/>
      <c r="Q4985"/>
      <c r="R4985"/>
      <c r="S4985"/>
    </row>
    <row r="4986" spans="1:19" x14ac:dyDescent="0.25">
      <c r="A4986" s="1"/>
      <c r="B4986"/>
      <c r="C4986"/>
      <c r="D4986"/>
      <c r="E4986"/>
      <c r="F4986"/>
      <c r="G4986"/>
      <c r="H4986"/>
      <c r="I4986"/>
      <c r="J4986"/>
      <c r="K4986"/>
      <c r="L4986"/>
      <c r="M4986"/>
      <c r="N4986"/>
      <c r="O4986"/>
      <c r="P4986"/>
      <c r="Q4986"/>
      <c r="R4986"/>
      <c r="S4986"/>
    </row>
    <row r="4987" spans="1:19" x14ac:dyDescent="0.25">
      <c r="A4987" s="1"/>
      <c r="B4987"/>
      <c r="C4987"/>
      <c r="D4987"/>
      <c r="E4987"/>
      <c r="F4987"/>
      <c r="G4987"/>
      <c r="H4987"/>
      <c r="I4987"/>
      <c r="J4987"/>
      <c r="K4987"/>
      <c r="L4987"/>
      <c r="M4987"/>
      <c r="N4987"/>
      <c r="O4987"/>
      <c r="P4987"/>
      <c r="Q4987"/>
      <c r="R4987"/>
      <c r="S4987"/>
    </row>
    <row r="4988" spans="1:19" x14ac:dyDescent="0.25">
      <c r="A4988" s="1"/>
      <c r="B4988"/>
      <c r="C4988"/>
      <c r="D4988"/>
      <c r="E4988"/>
      <c r="F4988"/>
      <c r="G4988"/>
      <c r="H4988"/>
      <c r="I4988"/>
      <c r="J4988"/>
      <c r="K4988"/>
      <c r="L4988"/>
      <c r="M4988"/>
      <c r="N4988"/>
      <c r="O4988"/>
      <c r="P4988"/>
      <c r="Q4988"/>
      <c r="R4988"/>
      <c r="S4988"/>
    </row>
    <row r="4989" spans="1:19" x14ac:dyDescent="0.25">
      <c r="A4989" s="1"/>
      <c r="B4989"/>
      <c r="C4989"/>
      <c r="D4989"/>
      <c r="E4989"/>
      <c r="F4989"/>
      <c r="G4989"/>
      <c r="H4989"/>
      <c r="I4989"/>
      <c r="J4989"/>
      <c r="K4989"/>
      <c r="L4989"/>
      <c r="M4989"/>
      <c r="N4989"/>
      <c r="O4989"/>
      <c r="P4989"/>
      <c r="Q4989"/>
      <c r="R4989"/>
      <c r="S4989"/>
    </row>
    <row r="4990" spans="1:19" x14ac:dyDescent="0.25">
      <c r="A4990" s="1"/>
      <c r="B4990"/>
      <c r="C4990"/>
      <c r="D4990"/>
      <c r="E4990"/>
      <c r="F4990"/>
      <c r="G4990"/>
      <c r="H4990"/>
      <c r="I4990"/>
      <c r="J4990"/>
      <c r="K4990"/>
      <c r="L4990"/>
      <c r="M4990"/>
      <c r="N4990"/>
      <c r="O4990"/>
      <c r="P4990"/>
      <c r="Q4990"/>
      <c r="R4990"/>
      <c r="S4990"/>
    </row>
    <row r="4991" spans="1:19" x14ac:dyDescent="0.25">
      <c r="A4991" s="1"/>
      <c r="B4991"/>
      <c r="C4991"/>
      <c r="D4991"/>
      <c r="E4991"/>
      <c r="F4991"/>
      <c r="G4991"/>
      <c r="H4991"/>
      <c r="I4991"/>
      <c r="J4991"/>
      <c r="K4991"/>
      <c r="L4991"/>
      <c r="M4991"/>
      <c r="N4991"/>
      <c r="O4991"/>
      <c r="P4991"/>
      <c r="Q4991"/>
      <c r="R4991"/>
      <c r="S4991"/>
    </row>
    <row r="4992" spans="1:19" x14ac:dyDescent="0.25">
      <c r="A4992" s="1"/>
      <c r="B4992"/>
      <c r="C4992"/>
      <c r="D4992"/>
      <c r="E4992"/>
      <c r="F4992"/>
      <c r="G4992"/>
      <c r="H4992"/>
      <c r="I4992"/>
      <c r="J4992"/>
      <c r="K4992"/>
      <c r="L4992"/>
      <c r="M4992"/>
      <c r="N4992"/>
      <c r="O4992"/>
      <c r="P4992"/>
      <c r="Q4992"/>
      <c r="R4992"/>
      <c r="S4992"/>
    </row>
    <row r="4993" spans="1:19" x14ac:dyDescent="0.25">
      <c r="A4993" s="1"/>
      <c r="B4993"/>
      <c r="C4993"/>
      <c r="D4993"/>
      <c r="E4993"/>
      <c r="F4993"/>
      <c r="G4993"/>
      <c r="H4993"/>
      <c r="I4993"/>
      <c r="J4993"/>
      <c r="K4993"/>
      <c r="L4993"/>
      <c r="M4993"/>
      <c r="N4993"/>
      <c r="O4993"/>
      <c r="P4993"/>
      <c r="Q4993"/>
      <c r="R4993"/>
      <c r="S4993"/>
    </row>
    <row r="4994" spans="1:19" x14ac:dyDescent="0.25">
      <c r="A4994" s="1"/>
      <c r="B4994"/>
      <c r="C4994"/>
      <c r="D4994"/>
      <c r="E4994"/>
      <c r="F4994"/>
      <c r="G4994"/>
      <c r="H4994"/>
      <c r="I4994"/>
      <c r="J4994"/>
      <c r="K4994"/>
      <c r="L4994"/>
      <c r="M4994"/>
      <c r="N4994"/>
      <c r="O4994"/>
      <c r="P4994"/>
      <c r="Q4994"/>
      <c r="R4994"/>
      <c r="S4994"/>
    </row>
    <row r="4995" spans="1:19" x14ac:dyDescent="0.25">
      <c r="A4995" s="1"/>
      <c r="B4995"/>
      <c r="C4995"/>
      <c r="D4995"/>
      <c r="E4995"/>
      <c r="F4995"/>
      <c r="G4995"/>
      <c r="H4995"/>
      <c r="I4995"/>
      <c r="J4995"/>
      <c r="K4995"/>
      <c r="L4995"/>
      <c r="M4995"/>
      <c r="N4995"/>
      <c r="O4995"/>
      <c r="P4995"/>
      <c r="Q4995"/>
      <c r="R4995"/>
      <c r="S4995"/>
    </row>
    <row r="4996" spans="1:19" x14ac:dyDescent="0.25">
      <c r="A4996" s="1"/>
      <c r="B4996"/>
      <c r="C4996"/>
      <c r="D4996"/>
      <c r="E4996"/>
      <c r="F4996"/>
      <c r="G4996"/>
      <c r="H4996"/>
      <c r="I4996"/>
      <c r="J4996"/>
      <c r="K4996"/>
      <c r="L4996"/>
      <c r="M4996"/>
      <c r="N4996"/>
      <c r="O4996"/>
      <c r="P4996"/>
      <c r="Q4996"/>
      <c r="R4996"/>
      <c r="S4996"/>
    </row>
    <row r="4997" spans="1:19" x14ac:dyDescent="0.25">
      <c r="A4997" s="1"/>
      <c r="B4997"/>
      <c r="C4997"/>
      <c r="D4997"/>
      <c r="E4997"/>
      <c r="F4997"/>
      <c r="G4997"/>
      <c r="H4997"/>
      <c r="I4997"/>
      <c r="J4997"/>
      <c r="K4997"/>
      <c r="L4997"/>
      <c r="M4997"/>
      <c r="N4997"/>
      <c r="O4997"/>
      <c r="P4997"/>
      <c r="Q4997"/>
      <c r="R4997"/>
      <c r="S4997"/>
    </row>
    <row r="4998" spans="1:19" x14ac:dyDescent="0.25">
      <c r="A4998" s="1"/>
      <c r="B4998"/>
      <c r="C4998"/>
      <c r="D4998"/>
      <c r="E4998"/>
      <c r="F4998"/>
      <c r="G4998"/>
      <c r="H4998"/>
      <c r="I4998"/>
      <c r="J4998"/>
      <c r="K4998"/>
      <c r="L4998"/>
      <c r="M4998"/>
      <c r="N4998"/>
      <c r="O4998"/>
      <c r="P4998"/>
      <c r="Q4998"/>
      <c r="R4998"/>
      <c r="S4998"/>
    </row>
    <row r="4999" spans="1:19" x14ac:dyDescent="0.25">
      <c r="A4999" s="1"/>
      <c r="B4999"/>
      <c r="C4999"/>
      <c r="D4999"/>
      <c r="E4999"/>
      <c r="F4999"/>
      <c r="G4999"/>
      <c r="H4999"/>
      <c r="I4999"/>
      <c r="J4999"/>
      <c r="K4999"/>
      <c r="L4999"/>
      <c r="M4999"/>
      <c r="N4999"/>
      <c r="O4999"/>
      <c r="P4999"/>
      <c r="Q4999"/>
      <c r="R4999"/>
      <c r="S4999"/>
    </row>
    <row r="5000" spans="1:19" x14ac:dyDescent="0.25">
      <c r="A5000" s="1"/>
      <c r="B5000"/>
      <c r="C5000"/>
      <c r="D5000"/>
      <c r="E5000"/>
      <c r="F5000"/>
      <c r="G5000"/>
      <c r="H5000"/>
      <c r="I5000"/>
      <c r="J5000"/>
      <c r="K5000"/>
      <c r="L5000"/>
      <c r="M5000"/>
      <c r="N5000"/>
      <c r="O5000"/>
      <c r="P5000"/>
      <c r="Q5000"/>
      <c r="R5000"/>
      <c r="S5000"/>
    </row>
    <row r="5001" spans="1:19" x14ac:dyDescent="0.25">
      <c r="A5001" s="1"/>
      <c r="B5001"/>
      <c r="C5001"/>
      <c r="D5001"/>
      <c r="E5001"/>
      <c r="F5001"/>
      <c r="G5001"/>
      <c r="H5001"/>
      <c r="I5001"/>
      <c r="J5001"/>
      <c r="K5001"/>
      <c r="L5001"/>
      <c r="M5001"/>
      <c r="N5001"/>
      <c r="O5001"/>
      <c r="P5001"/>
      <c r="Q5001"/>
      <c r="R5001"/>
      <c r="S5001"/>
    </row>
    <row r="5002" spans="1:19" x14ac:dyDescent="0.25">
      <c r="A5002" s="1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  <c r="P5002"/>
      <c r="Q5002"/>
      <c r="R5002"/>
      <c r="S5002"/>
    </row>
    <row r="5003" spans="1:19" x14ac:dyDescent="0.25">
      <c r="A5003" s="1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  <c r="P5003"/>
      <c r="Q5003"/>
      <c r="R5003"/>
      <c r="S5003"/>
    </row>
    <row r="5004" spans="1:19" x14ac:dyDescent="0.25">
      <c r="A5004" s="1"/>
      <c r="B5004"/>
      <c r="C5004"/>
      <c r="D5004"/>
      <c r="E5004"/>
      <c r="F5004"/>
      <c r="G5004"/>
      <c r="H5004"/>
      <c r="I5004"/>
      <c r="J5004"/>
      <c r="K5004"/>
      <c r="L5004"/>
      <c r="M5004"/>
      <c r="N5004"/>
      <c r="O5004"/>
      <c r="P5004"/>
      <c r="Q5004"/>
      <c r="R5004"/>
      <c r="S5004"/>
    </row>
    <row r="5005" spans="1:19" x14ac:dyDescent="0.25">
      <c r="A5005" s="1"/>
      <c r="B5005"/>
      <c r="C5005"/>
      <c r="D5005"/>
      <c r="E5005"/>
      <c r="F5005"/>
      <c r="G5005"/>
      <c r="H5005"/>
      <c r="I5005"/>
      <c r="J5005"/>
      <c r="K5005"/>
      <c r="L5005"/>
      <c r="M5005"/>
      <c r="N5005"/>
      <c r="O5005"/>
      <c r="P5005"/>
      <c r="Q5005"/>
      <c r="R5005"/>
      <c r="S5005"/>
    </row>
    <row r="5006" spans="1:19" x14ac:dyDescent="0.25">
      <c r="A5006" s="1"/>
      <c r="B5006"/>
      <c r="C5006"/>
      <c r="D5006"/>
      <c r="E5006"/>
      <c r="F5006"/>
      <c r="G5006"/>
      <c r="H5006"/>
      <c r="I5006"/>
      <c r="J5006"/>
      <c r="K5006"/>
      <c r="L5006"/>
      <c r="M5006"/>
      <c r="N5006"/>
      <c r="O5006"/>
      <c r="P5006"/>
      <c r="Q5006"/>
      <c r="R5006"/>
      <c r="S5006"/>
    </row>
    <row r="5007" spans="1:19" x14ac:dyDescent="0.25">
      <c r="A5007" s="1"/>
      <c r="B5007"/>
      <c r="C5007"/>
      <c r="D5007"/>
      <c r="E5007"/>
      <c r="F5007"/>
      <c r="G5007"/>
      <c r="H5007"/>
      <c r="I5007"/>
      <c r="J5007"/>
      <c r="K5007"/>
      <c r="L5007"/>
      <c r="M5007"/>
      <c r="N5007"/>
      <c r="O5007"/>
      <c r="P5007"/>
      <c r="Q5007"/>
      <c r="R5007"/>
      <c r="S5007"/>
    </row>
    <row r="5008" spans="1:19" x14ac:dyDescent="0.25">
      <c r="A5008" s="1"/>
      <c r="B5008"/>
      <c r="C5008"/>
      <c r="D5008"/>
      <c r="E5008"/>
      <c r="F5008"/>
      <c r="G5008"/>
      <c r="H5008"/>
      <c r="I5008"/>
      <c r="J5008"/>
      <c r="K5008"/>
      <c r="L5008"/>
      <c r="M5008"/>
      <c r="N5008"/>
      <c r="O5008"/>
      <c r="P5008"/>
      <c r="Q5008"/>
      <c r="R5008"/>
      <c r="S5008"/>
    </row>
    <row r="5009" spans="1:19" x14ac:dyDescent="0.25">
      <c r="A5009" s="1"/>
      <c r="B5009"/>
      <c r="C5009"/>
      <c r="D5009"/>
      <c r="E5009"/>
      <c r="F5009"/>
      <c r="G5009"/>
      <c r="H5009"/>
      <c r="I5009"/>
      <c r="J5009"/>
      <c r="K5009"/>
      <c r="L5009"/>
      <c r="M5009"/>
      <c r="N5009"/>
      <c r="O5009"/>
      <c r="P5009"/>
      <c r="Q5009"/>
      <c r="R5009"/>
      <c r="S5009"/>
    </row>
    <row r="5010" spans="1:19" x14ac:dyDescent="0.25">
      <c r="A5010" s="1"/>
      <c r="B5010"/>
      <c r="C5010"/>
      <c r="D5010"/>
      <c r="E5010"/>
      <c r="F5010"/>
      <c r="G5010"/>
      <c r="H5010"/>
      <c r="I5010"/>
      <c r="J5010"/>
      <c r="K5010"/>
      <c r="L5010"/>
      <c r="M5010"/>
      <c r="N5010"/>
      <c r="O5010"/>
      <c r="P5010"/>
      <c r="Q5010"/>
      <c r="R5010"/>
      <c r="S5010"/>
    </row>
    <row r="5011" spans="1:19" x14ac:dyDescent="0.25">
      <c r="A5011" s="1"/>
      <c r="B5011"/>
      <c r="C5011"/>
      <c r="D5011"/>
      <c r="E5011"/>
      <c r="F5011"/>
      <c r="G5011"/>
      <c r="H5011"/>
      <c r="I5011"/>
      <c r="J5011"/>
      <c r="K5011"/>
      <c r="L5011"/>
      <c r="M5011"/>
      <c r="N5011"/>
      <c r="O5011"/>
      <c r="P5011"/>
      <c r="Q5011"/>
      <c r="R5011"/>
      <c r="S5011"/>
    </row>
    <row r="5012" spans="1:19" x14ac:dyDescent="0.25">
      <c r="A5012" s="1"/>
      <c r="B5012"/>
      <c r="C5012"/>
      <c r="D5012"/>
      <c r="E5012"/>
      <c r="F5012"/>
      <c r="G5012"/>
      <c r="H5012"/>
      <c r="I5012"/>
      <c r="J5012"/>
      <c r="K5012"/>
      <c r="L5012"/>
      <c r="M5012"/>
      <c r="N5012"/>
      <c r="O5012"/>
      <c r="P5012"/>
      <c r="Q5012"/>
      <c r="R5012"/>
      <c r="S5012"/>
    </row>
    <row r="5013" spans="1:19" x14ac:dyDescent="0.25">
      <c r="A5013" s="1"/>
      <c r="B5013"/>
      <c r="C5013"/>
      <c r="D5013"/>
      <c r="E5013"/>
      <c r="F5013"/>
      <c r="G5013"/>
      <c r="H5013"/>
      <c r="I5013"/>
      <c r="J5013"/>
      <c r="K5013"/>
      <c r="L5013"/>
      <c r="M5013"/>
      <c r="N5013"/>
      <c r="O5013"/>
      <c r="P5013"/>
      <c r="Q5013"/>
      <c r="R5013"/>
      <c r="S5013"/>
    </row>
    <row r="5014" spans="1:19" x14ac:dyDescent="0.25">
      <c r="A5014" s="1"/>
      <c r="B5014"/>
      <c r="C5014"/>
      <c r="D5014"/>
      <c r="E5014"/>
      <c r="F5014"/>
      <c r="G5014"/>
      <c r="H5014"/>
      <c r="I5014"/>
      <c r="J5014"/>
      <c r="K5014"/>
      <c r="L5014"/>
      <c r="M5014"/>
      <c r="N5014"/>
      <c r="O5014"/>
      <c r="P5014"/>
      <c r="Q5014"/>
      <c r="R5014"/>
      <c r="S5014"/>
    </row>
    <row r="5015" spans="1:19" x14ac:dyDescent="0.25">
      <c r="A5015" s="1"/>
      <c r="B5015"/>
      <c r="C5015"/>
      <c r="D5015"/>
      <c r="E5015"/>
      <c r="F5015"/>
      <c r="G5015"/>
      <c r="H5015"/>
      <c r="I5015"/>
      <c r="J5015"/>
      <c r="K5015"/>
      <c r="L5015"/>
      <c r="M5015"/>
      <c r="N5015"/>
      <c r="O5015"/>
      <c r="P5015"/>
      <c r="Q5015"/>
      <c r="R5015"/>
      <c r="S5015"/>
    </row>
    <row r="5016" spans="1:19" x14ac:dyDescent="0.25">
      <c r="A5016" s="1"/>
      <c r="B5016"/>
      <c r="C5016"/>
      <c r="D5016"/>
      <c r="E5016"/>
      <c r="F5016"/>
      <c r="G5016"/>
      <c r="H5016"/>
      <c r="I5016"/>
      <c r="J5016"/>
      <c r="K5016"/>
      <c r="L5016"/>
      <c r="M5016"/>
      <c r="N5016"/>
      <c r="O5016"/>
      <c r="P5016"/>
      <c r="Q5016"/>
      <c r="R5016"/>
      <c r="S5016"/>
    </row>
    <row r="5017" spans="1:19" x14ac:dyDescent="0.25">
      <c r="A5017" s="1"/>
      <c r="B5017"/>
      <c r="C5017"/>
      <c r="D5017"/>
      <c r="E5017"/>
      <c r="F5017"/>
      <c r="G5017"/>
      <c r="H5017"/>
      <c r="I5017"/>
      <c r="J5017"/>
      <c r="K5017"/>
      <c r="L5017"/>
      <c r="M5017"/>
      <c r="N5017"/>
      <c r="O5017"/>
      <c r="P5017"/>
      <c r="Q5017"/>
      <c r="R5017"/>
      <c r="S5017"/>
    </row>
    <row r="5018" spans="1:19" x14ac:dyDescent="0.25">
      <c r="A5018" s="1"/>
      <c r="B5018"/>
      <c r="C5018"/>
      <c r="D5018"/>
      <c r="E5018"/>
      <c r="F5018"/>
      <c r="G5018"/>
      <c r="H5018"/>
      <c r="I5018"/>
      <c r="J5018"/>
      <c r="K5018"/>
      <c r="L5018"/>
      <c r="M5018"/>
      <c r="N5018"/>
      <c r="O5018"/>
      <c r="P5018"/>
      <c r="Q5018"/>
      <c r="R5018"/>
      <c r="S5018"/>
    </row>
    <row r="5019" spans="1:19" x14ac:dyDescent="0.25">
      <c r="A5019" s="1"/>
      <c r="B5019"/>
      <c r="C5019"/>
      <c r="D5019"/>
      <c r="E5019"/>
      <c r="F5019"/>
      <c r="G5019"/>
      <c r="H5019"/>
      <c r="I5019"/>
      <c r="J5019"/>
      <c r="K5019"/>
      <c r="L5019"/>
      <c r="M5019"/>
      <c r="N5019"/>
      <c r="O5019"/>
      <c r="P5019"/>
      <c r="Q5019"/>
      <c r="R5019"/>
      <c r="S5019"/>
    </row>
    <row r="5020" spans="1:19" x14ac:dyDescent="0.25">
      <c r="A5020" s="1"/>
      <c r="B5020"/>
      <c r="C5020"/>
      <c r="D5020"/>
      <c r="E5020"/>
      <c r="F5020"/>
      <c r="G5020"/>
      <c r="H5020"/>
      <c r="I5020"/>
      <c r="J5020"/>
      <c r="K5020"/>
      <c r="L5020"/>
      <c r="M5020"/>
      <c r="N5020"/>
      <c r="O5020"/>
      <c r="P5020"/>
      <c r="Q5020"/>
      <c r="R5020"/>
      <c r="S5020"/>
    </row>
    <row r="5021" spans="1:19" x14ac:dyDescent="0.25">
      <c r="A5021" s="1"/>
      <c r="B5021"/>
      <c r="C5021"/>
      <c r="D5021"/>
      <c r="E5021"/>
      <c r="F5021"/>
      <c r="G5021"/>
      <c r="H5021"/>
      <c r="I5021"/>
      <c r="J5021"/>
      <c r="K5021"/>
      <c r="L5021"/>
      <c r="M5021"/>
      <c r="N5021"/>
      <c r="O5021"/>
      <c r="P5021"/>
      <c r="Q5021"/>
      <c r="R5021"/>
      <c r="S5021"/>
    </row>
    <row r="5022" spans="1:19" x14ac:dyDescent="0.25">
      <c r="A5022" s="1"/>
      <c r="B5022"/>
      <c r="C5022"/>
      <c r="D5022"/>
      <c r="E5022"/>
      <c r="F5022"/>
      <c r="G5022"/>
      <c r="H5022"/>
      <c r="I5022"/>
      <c r="J5022"/>
      <c r="K5022"/>
      <c r="L5022"/>
      <c r="M5022"/>
      <c r="N5022"/>
      <c r="O5022"/>
      <c r="P5022"/>
      <c r="Q5022"/>
      <c r="R5022"/>
      <c r="S5022"/>
    </row>
    <row r="5023" spans="1:19" x14ac:dyDescent="0.25">
      <c r="A5023" s="1"/>
      <c r="B5023"/>
      <c r="C5023"/>
      <c r="D5023"/>
      <c r="E5023"/>
      <c r="F5023"/>
      <c r="G5023"/>
      <c r="H5023"/>
      <c r="I5023"/>
      <c r="J5023"/>
      <c r="K5023"/>
      <c r="L5023"/>
      <c r="M5023"/>
      <c r="N5023"/>
      <c r="O5023"/>
      <c r="P5023"/>
      <c r="Q5023"/>
      <c r="R5023"/>
      <c r="S5023"/>
    </row>
    <row r="5024" spans="1:19" x14ac:dyDescent="0.25">
      <c r="A5024" s="1"/>
      <c r="B5024"/>
      <c r="C5024"/>
      <c r="D5024"/>
      <c r="E5024"/>
      <c r="F5024"/>
      <c r="G5024"/>
      <c r="H5024"/>
      <c r="I5024"/>
      <c r="J5024"/>
      <c r="K5024"/>
      <c r="L5024"/>
      <c r="M5024"/>
      <c r="N5024"/>
      <c r="O5024"/>
      <c r="P5024"/>
      <c r="Q5024"/>
      <c r="R5024"/>
      <c r="S5024"/>
    </row>
    <row r="5025" spans="1:19" x14ac:dyDescent="0.25">
      <c r="A5025" s="1"/>
      <c r="B5025"/>
      <c r="C5025"/>
      <c r="D5025"/>
      <c r="E5025"/>
      <c r="F5025"/>
      <c r="G5025"/>
      <c r="H5025"/>
      <c r="I5025"/>
      <c r="J5025"/>
      <c r="K5025"/>
      <c r="L5025"/>
      <c r="M5025"/>
      <c r="N5025"/>
      <c r="O5025"/>
      <c r="P5025"/>
      <c r="Q5025"/>
      <c r="R5025"/>
      <c r="S5025"/>
    </row>
    <row r="5026" spans="1:19" x14ac:dyDescent="0.25">
      <c r="A5026" s="1"/>
      <c r="B5026"/>
      <c r="C5026"/>
      <c r="D5026"/>
      <c r="E5026"/>
      <c r="F5026"/>
      <c r="G5026"/>
      <c r="H5026"/>
      <c r="I5026"/>
      <c r="J5026"/>
      <c r="K5026"/>
      <c r="L5026"/>
      <c r="M5026"/>
      <c r="N5026"/>
      <c r="O5026"/>
      <c r="P5026"/>
      <c r="Q5026"/>
      <c r="R5026"/>
      <c r="S5026"/>
    </row>
    <row r="5027" spans="1:19" x14ac:dyDescent="0.25">
      <c r="A5027" s="1"/>
      <c r="B5027"/>
      <c r="C5027"/>
      <c r="D5027"/>
      <c r="E5027"/>
      <c r="F5027"/>
      <c r="G5027"/>
      <c r="H5027"/>
      <c r="I5027"/>
      <c r="J5027"/>
      <c r="K5027"/>
      <c r="L5027"/>
      <c r="M5027"/>
      <c r="N5027"/>
      <c r="O5027"/>
      <c r="P5027"/>
      <c r="Q5027"/>
      <c r="R5027"/>
      <c r="S5027"/>
    </row>
    <row r="5028" spans="1:19" x14ac:dyDescent="0.25">
      <c r="A5028" s="1"/>
      <c r="B5028"/>
      <c r="C5028"/>
      <c r="D5028"/>
      <c r="E5028"/>
      <c r="F5028"/>
      <c r="G5028"/>
      <c r="H5028"/>
      <c r="I5028"/>
      <c r="J5028"/>
      <c r="K5028"/>
      <c r="L5028"/>
      <c r="M5028"/>
      <c r="N5028"/>
      <c r="O5028"/>
      <c r="P5028"/>
      <c r="Q5028"/>
      <c r="R5028"/>
      <c r="S5028"/>
    </row>
    <row r="5029" spans="1:19" x14ac:dyDescent="0.25">
      <c r="A5029" s="1"/>
      <c r="B5029"/>
      <c r="C5029"/>
      <c r="D5029"/>
      <c r="E5029"/>
      <c r="F5029"/>
      <c r="G5029"/>
      <c r="H5029"/>
      <c r="I5029"/>
      <c r="J5029"/>
      <c r="K5029"/>
      <c r="L5029"/>
      <c r="M5029"/>
      <c r="N5029"/>
      <c r="O5029"/>
      <c r="P5029"/>
      <c r="Q5029"/>
      <c r="R5029"/>
      <c r="S5029"/>
    </row>
    <row r="5030" spans="1:19" x14ac:dyDescent="0.25">
      <c r="A5030" s="1"/>
      <c r="B5030"/>
      <c r="C5030"/>
      <c r="D5030"/>
      <c r="E5030"/>
      <c r="F5030"/>
      <c r="G5030"/>
      <c r="H5030"/>
      <c r="I5030"/>
      <c r="J5030"/>
      <c r="K5030"/>
      <c r="L5030"/>
      <c r="M5030"/>
      <c r="N5030"/>
      <c r="O5030"/>
      <c r="P5030"/>
      <c r="Q5030"/>
      <c r="R5030"/>
      <c r="S5030"/>
    </row>
    <row r="5031" spans="1:19" x14ac:dyDescent="0.25">
      <c r="A5031" s="1"/>
      <c r="B5031"/>
      <c r="C5031"/>
      <c r="D5031"/>
      <c r="E5031"/>
      <c r="F5031"/>
      <c r="G5031"/>
      <c r="H5031"/>
      <c r="I5031"/>
      <c r="J5031"/>
      <c r="K5031"/>
      <c r="L5031"/>
      <c r="M5031"/>
      <c r="N5031"/>
      <c r="O5031"/>
      <c r="P5031"/>
      <c r="Q5031"/>
      <c r="R5031"/>
      <c r="S5031"/>
    </row>
    <row r="5032" spans="1:19" x14ac:dyDescent="0.25">
      <c r="A5032" s="1"/>
      <c r="B5032"/>
      <c r="C5032"/>
      <c r="D5032"/>
      <c r="E5032"/>
      <c r="F5032"/>
      <c r="G5032"/>
      <c r="H5032"/>
      <c r="I5032"/>
      <c r="J5032"/>
      <c r="K5032"/>
      <c r="L5032"/>
      <c r="M5032"/>
      <c r="N5032"/>
      <c r="O5032"/>
      <c r="P5032"/>
      <c r="Q5032"/>
      <c r="R5032"/>
      <c r="S5032"/>
    </row>
    <row r="5033" spans="1:19" x14ac:dyDescent="0.25">
      <c r="A5033" s="1"/>
      <c r="B5033"/>
      <c r="C5033"/>
      <c r="D5033"/>
      <c r="E5033"/>
      <c r="F5033"/>
      <c r="G5033"/>
      <c r="H5033"/>
      <c r="I5033"/>
      <c r="J5033"/>
      <c r="K5033"/>
      <c r="L5033"/>
      <c r="M5033"/>
      <c r="N5033"/>
      <c r="O5033"/>
      <c r="P5033"/>
      <c r="Q5033"/>
      <c r="R5033"/>
      <c r="S5033"/>
    </row>
    <row r="5034" spans="1:19" x14ac:dyDescent="0.25">
      <c r="A5034" s="1"/>
      <c r="B5034"/>
      <c r="C5034"/>
      <c r="D5034"/>
      <c r="E5034"/>
      <c r="F5034"/>
      <c r="G5034"/>
      <c r="H5034"/>
      <c r="I5034"/>
      <c r="J5034"/>
      <c r="K5034"/>
      <c r="L5034"/>
      <c r="M5034"/>
      <c r="N5034"/>
      <c r="O5034"/>
      <c r="P5034"/>
      <c r="Q5034"/>
      <c r="R5034"/>
      <c r="S5034"/>
    </row>
    <row r="5035" spans="1:19" x14ac:dyDescent="0.25">
      <c r="A5035" s="1"/>
      <c r="B5035"/>
      <c r="C5035"/>
      <c r="D5035"/>
      <c r="E5035"/>
      <c r="F5035"/>
      <c r="G5035"/>
      <c r="H5035"/>
      <c r="I5035"/>
      <c r="J5035"/>
      <c r="K5035"/>
      <c r="L5035"/>
      <c r="M5035"/>
      <c r="N5035"/>
      <c r="O5035"/>
      <c r="P5035"/>
      <c r="Q5035"/>
      <c r="R5035"/>
      <c r="S5035"/>
    </row>
    <row r="5036" spans="1:19" x14ac:dyDescent="0.25">
      <c r="A5036" s="1"/>
      <c r="B5036"/>
      <c r="C5036"/>
      <c r="D5036"/>
      <c r="E5036"/>
      <c r="F5036"/>
      <c r="G5036"/>
      <c r="H5036"/>
      <c r="I5036"/>
      <c r="J5036"/>
      <c r="K5036"/>
      <c r="L5036"/>
      <c r="M5036"/>
      <c r="N5036"/>
      <c r="O5036"/>
      <c r="P5036"/>
      <c r="Q5036"/>
      <c r="R5036"/>
      <c r="S5036"/>
    </row>
    <row r="5037" spans="1:19" x14ac:dyDescent="0.25">
      <c r="A5037" s="1"/>
      <c r="B5037"/>
      <c r="C5037"/>
      <c r="D5037"/>
      <c r="E5037"/>
      <c r="F5037"/>
      <c r="G5037"/>
      <c r="H5037"/>
      <c r="I5037"/>
      <c r="J5037"/>
      <c r="K5037"/>
      <c r="L5037"/>
      <c r="M5037"/>
      <c r="N5037"/>
      <c r="O5037"/>
      <c r="P5037"/>
      <c r="Q5037"/>
      <c r="R5037"/>
      <c r="S5037"/>
    </row>
    <row r="5038" spans="1:19" x14ac:dyDescent="0.25">
      <c r="A5038" s="1"/>
      <c r="B5038"/>
      <c r="C5038"/>
      <c r="D5038"/>
      <c r="E5038"/>
      <c r="F5038"/>
      <c r="G5038"/>
      <c r="H5038"/>
      <c r="I5038"/>
      <c r="J5038"/>
      <c r="K5038"/>
      <c r="L5038"/>
      <c r="M5038"/>
      <c r="N5038"/>
      <c r="O5038"/>
      <c r="P5038"/>
      <c r="Q5038"/>
      <c r="R5038"/>
      <c r="S5038"/>
    </row>
    <row r="5039" spans="1:19" x14ac:dyDescent="0.25">
      <c r="A5039" s="1"/>
      <c r="B5039"/>
      <c r="C5039"/>
      <c r="D5039"/>
      <c r="E5039"/>
      <c r="F5039"/>
      <c r="G5039"/>
      <c r="H5039"/>
      <c r="I5039"/>
      <c r="J5039"/>
      <c r="K5039"/>
      <c r="L5039"/>
      <c r="M5039"/>
      <c r="N5039"/>
      <c r="O5039"/>
      <c r="P5039"/>
      <c r="Q5039"/>
      <c r="R5039"/>
      <c r="S5039"/>
    </row>
    <row r="5040" spans="1:19" x14ac:dyDescent="0.25">
      <c r="A5040" s="1"/>
      <c r="B5040"/>
      <c r="C5040"/>
      <c r="D5040"/>
      <c r="E5040"/>
      <c r="F5040"/>
      <c r="G5040"/>
      <c r="H5040"/>
      <c r="I5040"/>
      <c r="J5040"/>
      <c r="K5040"/>
      <c r="L5040"/>
      <c r="M5040"/>
      <c r="N5040"/>
      <c r="O5040"/>
      <c r="P5040"/>
      <c r="Q5040"/>
      <c r="R5040"/>
      <c r="S5040"/>
    </row>
    <row r="5041" spans="1:19" x14ac:dyDescent="0.25">
      <c r="A5041" s="1"/>
      <c r="B5041"/>
      <c r="C5041"/>
      <c r="D5041"/>
      <c r="E5041"/>
      <c r="F5041"/>
      <c r="G5041"/>
      <c r="H5041"/>
      <c r="I5041"/>
      <c r="J5041"/>
      <c r="K5041"/>
      <c r="L5041"/>
      <c r="M5041"/>
      <c r="N5041"/>
      <c r="O5041"/>
      <c r="P5041"/>
      <c r="Q5041"/>
      <c r="R5041"/>
      <c r="S5041"/>
    </row>
    <row r="5042" spans="1:19" x14ac:dyDescent="0.25">
      <c r="A5042" s="1"/>
      <c r="B5042"/>
      <c r="C5042"/>
      <c r="D5042"/>
      <c r="E5042"/>
      <c r="F5042"/>
      <c r="G5042"/>
      <c r="H5042"/>
      <c r="I5042"/>
      <c r="J5042"/>
      <c r="K5042"/>
      <c r="L5042"/>
      <c r="M5042"/>
      <c r="N5042"/>
      <c r="O5042"/>
      <c r="P5042"/>
      <c r="Q5042"/>
      <c r="R5042"/>
      <c r="S5042"/>
    </row>
    <row r="5043" spans="1:19" x14ac:dyDescent="0.25">
      <c r="A5043" s="1"/>
      <c r="B5043"/>
      <c r="C5043"/>
      <c r="D5043"/>
      <c r="E5043"/>
      <c r="F5043"/>
      <c r="G5043"/>
      <c r="H5043"/>
      <c r="I5043"/>
      <c r="J5043"/>
      <c r="K5043"/>
      <c r="L5043"/>
      <c r="M5043"/>
      <c r="N5043"/>
      <c r="O5043"/>
      <c r="P5043"/>
      <c r="Q5043"/>
      <c r="R5043"/>
      <c r="S5043"/>
    </row>
    <row r="5044" spans="1:19" x14ac:dyDescent="0.25">
      <c r="A5044" s="1"/>
      <c r="B5044"/>
      <c r="C5044"/>
      <c r="D5044"/>
      <c r="E5044"/>
      <c r="F5044"/>
      <c r="G5044"/>
      <c r="H5044"/>
      <c r="I5044"/>
      <c r="J5044"/>
      <c r="K5044"/>
      <c r="L5044"/>
      <c r="M5044"/>
      <c r="N5044"/>
      <c r="O5044"/>
      <c r="P5044"/>
      <c r="Q5044"/>
      <c r="R5044"/>
      <c r="S5044"/>
    </row>
    <row r="5045" spans="1:19" x14ac:dyDescent="0.25">
      <c r="A5045" s="1"/>
      <c r="B5045"/>
      <c r="C5045"/>
      <c r="D5045"/>
      <c r="E5045"/>
      <c r="F5045"/>
      <c r="G5045"/>
      <c r="H5045"/>
      <c r="I5045"/>
      <c r="J5045"/>
      <c r="K5045"/>
      <c r="L5045"/>
      <c r="M5045"/>
      <c r="N5045"/>
      <c r="O5045"/>
      <c r="P5045"/>
      <c r="Q5045"/>
      <c r="R5045"/>
      <c r="S5045"/>
    </row>
    <row r="5046" spans="1:19" x14ac:dyDescent="0.25">
      <c r="A5046" s="1"/>
      <c r="B5046"/>
      <c r="C5046"/>
      <c r="D5046"/>
      <c r="E5046"/>
      <c r="F5046"/>
      <c r="G5046"/>
      <c r="H5046"/>
      <c r="I5046"/>
      <c r="J5046"/>
      <c r="K5046"/>
      <c r="L5046"/>
      <c r="M5046"/>
      <c r="N5046"/>
      <c r="O5046"/>
      <c r="P5046"/>
      <c r="Q5046"/>
      <c r="R5046"/>
      <c r="S5046"/>
    </row>
    <row r="5047" spans="1:19" x14ac:dyDescent="0.25">
      <c r="A5047" s="1"/>
      <c r="B5047"/>
      <c r="C5047"/>
      <c r="D5047"/>
      <c r="E5047"/>
      <c r="F5047"/>
      <c r="G5047"/>
      <c r="H5047"/>
      <c r="I5047"/>
      <c r="J5047"/>
      <c r="K5047"/>
      <c r="L5047"/>
      <c r="M5047"/>
      <c r="N5047"/>
      <c r="O5047"/>
      <c r="P5047"/>
      <c r="Q5047"/>
      <c r="R5047"/>
      <c r="S5047"/>
    </row>
    <row r="5048" spans="1:19" x14ac:dyDescent="0.25">
      <c r="A5048" s="1"/>
      <c r="B5048"/>
      <c r="C5048"/>
      <c r="D5048"/>
      <c r="E5048"/>
      <c r="F5048"/>
      <c r="G5048"/>
      <c r="H5048"/>
      <c r="I5048"/>
      <c r="J5048"/>
      <c r="K5048"/>
      <c r="L5048"/>
      <c r="M5048"/>
      <c r="N5048"/>
      <c r="O5048"/>
      <c r="P5048"/>
      <c r="Q5048"/>
      <c r="R5048"/>
      <c r="S5048"/>
    </row>
    <row r="5049" spans="1:19" x14ac:dyDescent="0.25">
      <c r="A5049" s="1"/>
      <c r="B5049"/>
      <c r="C5049"/>
      <c r="D5049"/>
      <c r="E5049"/>
      <c r="F5049"/>
      <c r="G5049"/>
      <c r="H5049"/>
      <c r="I5049"/>
      <c r="J5049"/>
      <c r="K5049"/>
      <c r="L5049"/>
      <c r="M5049"/>
      <c r="N5049"/>
      <c r="O5049"/>
      <c r="P5049"/>
      <c r="Q5049"/>
      <c r="R5049"/>
      <c r="S5049"/>
    </row>
    <row r="5050" spans="1:19" x14ac:dyDescent="0.25">
      <c r="A5050" s="1"/>
      <c r="B5050"/>
      <c r="C5050"/>
      <c r="D5050"/>
      <c r="E5050"/>
      <c r="F5050"/>
      <c r="G5050"/>
      <c r="H5050"/>
      <c r="I5050"/>
      <c r="J5050"/>
      <c r="K5050"/>
      <c r="L5050"/>
      <c r="M5050"/>
      <c r="N5050"/>
      <c r="O5050"/>
      <c r="P5050"/>
      <c r="Q5050"/>
      <c r="R5050"/>
      <c r="S5050"/>
    </row>
    <row r="5051" spans="1:19" x14ac:dyDescent="0.25">
      <c r="A5051" s="1"/>
      <c r="B5051"/>
      <c r="C5051"/>
      <c r="D5051"/>
      <c r="E5051"/>
      <c r="F5051"/>
      <c r="G5051"/>
      <c r="H5051"/>
      <c r="I5051"/>
      <c r="J5051"/>
      <c r="K5051"/>
      <c r="L5051"/>
      <c r="M5051"/>
      <c r="N5051"/>
      <c r="O5051"/>
      <c r="P5051"/>
      <c r="Q5051"/>
      <c r="R5051"/>
      <c r="S5051"/>
    </row>
    <row r="5052" spans="1:19" x14ac:dyDescent="0.25">
      <c r="A5052" s="1"/>
      <c r="B5052"/>
      <c r="C5052"/>
      <c r="D5052"/>
      <c r="E5052"/>
      <c r="F5052"/>
      <c r="G5052"/>
      <c r="H5052"/>
      <c r="I5052"/>
      <c r="J5052"/>
      <c r="K5052"/>
      <c r="L5052"/>
      <c r="M5052"/>
      <c r="N5052"/>
      <c r="O5052"/>
      <c r="P5052"/>
      <c r="Q5052"/>
      <c r="R5052"/>
      <c r="S5052"/>
    </row>
    <row r="5053" spans="1:19" x14ac:dyDescent="0.25">
      <c r="A5053" s="1"/>
      <c r="B5053"/>
      <c r="C5053"/>
      <c r="D5053"/>
      <c r="E5053"/>
      <c r="F5053"/>
      <c r="G5053"/>
      <c r="H5053"/>
      <c r="I5053"/>
      <c r="J5053"/>
      <c r="K5053"/>
      <c r="L5053"/>
      <c r="M5053"/>
      <c r="N5053"/>
      <c r="O5053"/>
      <c r="P5053"/>
      <c r="Q5053"/>
      <c r="R5053"/>
      <c r="S5053"/>
    </row>
    <row r="5054" spans="1:19" x14ac:dyDescent="0.25">
      <c r="A5054" s="1"/>
      <c r="B5054"/>
      <c r="C5054"/>
      <c r="D5054"/>
      <c r="E5054"/>
      <c r="F5054"/>
      <c r="G5054"/>
      <c r="H5054"/>
      <c r="I5054"/>
      <c r="J5054"/>
      <c r="K5054"/>
      <c r="L5054"/>
      <c r="M5054"/>
      <c r="N5054"/>
      <c r="O5054"/>
      <c r="P5054"/>
      <c r="Q5054"/>
      <c r="R5054"/>
      <c r="S5054"/>
    </row>
    <row r="5055" spans="1:19" x14ac:dyDescent="0.25">
      <c r="A5055" s="1"/>
      <c r="B5055"/>
      <c r="C5055"/>
      <c r="D5055"/>
      <c r="E5055"/>
      <c r="F5055"/>
      <c r="G5055"/>
      <c r="H5055"/>
      <c r="I5055"/>
      <c r="J5055"/>
      <c r="K5055"/>
      <c r="L5055"/>
      <c r="M5055"/>
      <c r="N5055"/>
      <c r="O5055"/>
      <c r="P5055"/>
      <c r="Q5055"/>
      <c r="R5055"/>
      <c r="S5055"/>
    </row>
    <row r="5056" spans="1:19" x14ac:dyDescent="0.25">
      <c r="A5056" s="1"/>
      <c r="B5056"/>
      <c r="C5056"/>
      <c r="D5056"/>
      <c r="E5056"/>
      <c r="F5056"/>
      <c r="G5056"/>
      <c r="H5056"/>
      <c r="I5056"/>
      <c r="J5056"/>
      <c r="K5056"/>
      <c r="L5056"/>
      <c r="M5056"/>
      <c r="N5056"/>
      <c r="O5056"/>
      <c r="P5056"/>
      <c r="Q5056"/>
      <c r="R5056"/>
      <c r="S5056"/>
    </row>
    <row r="5057" spans="1:19" x14ac:dyDescent="0.25">
      <c r="A5057" s="1"/>
      <c r="B5057"/>
      <c r="C5057"/>
      <c r="D5057"/>
      <c r="E5057"/>
      <c r="F5057"/>
      <c r="G5057"/>
      <c r="H5057"/>
      <c r="I5057"/>
      <c r="J5057"/>
      <c r="K5057"/>
      <c r="L5057"/>
      <c r="M5057"/>
      <c r="N5057"/>
      <c r="O5057"/>
      <c r="P5057"/>
      <c r="Q5057"/>
      <c r="R5057"/>
      <c r="S5057"/>
    </row>
    <row r="5058" spans="1:19" x14ac:dyDescent="0.25">
      <c r="A5058" s="1"/>
      <c r="B5058"/>
      <c r="C5058"/>
      <c r="D5058"/>
      <c r="E5058"/>
      <c r="F5058"/>
      <c r="G5058"/>
      <c r="H5058"/>
      <c r="I5058"/>
      <c r="J5058"/>
      <c r="K5058"/>
      <c r="L5058"/>
      <c r="M5058"/>
      <c r="N5058"/>
      <c r="O5058"/>
      <c r="P5058"/>
      <c r="Q5058"/>
      <c r="R5058"/>
      <c r="S5058"/>
    </row>
    <row r="5059" spans="1:19" x14ac:dyDescent="0.25">
      <c r="A5059" s="1"/>
      <c r="B5059"/>
      <c r="C5059"/>
      <c r="D5059"/>
      <c r="E5059"/>
      <c r="F5059"/>
      <c r="G5059"/>
      <c r="H5059"/>
      <c r="I5059"/>
      <c r="J5059"/>
      <c r="K5059"/>
      <c r="L5059"/>
      <c r="M5059"/>
      <c r="N5059"/>
      <c r="O5059"/>
      <c r="P5059"/>
      <c r="Q5059"/>
      <c r="R5059"/>
      <c r="S5059"/>
    </row>
    <row r="5060" spans="1:19" x14ac:dyDescent="0.25">
      <c r="A5060" s="1"/>
      <c r="B5060"/>
      <c r="C5060"/>
      <c r="D5060"/>
      <c r="E5060"/>
      <c r="F5060"/>
      <c r="G5060"/>
      <c r="H5060"/>
      <c r="I5060"/>
      <c r="J5060"/>
      <c r="K5060"/>
      <c r="L5060"/>
      <c r="M5060"/>
      <c r="N5060"/>
      <c r="O5060"/>
      <c r="P5060"/>
      <c r="Q5060"/>
      <c r="R5060"/>
      <c r="S5060"/>
    </row>
    <row r="5061" spans="1:19" x14ac:dyDescent="0.25">
      <c r="A5061" s="1"/>
      <c r="B5061"/>
      <c r="C5061"/>
      <c r="D5061"/>
      <c r="E5061"/>
      <c r="F5061"/>
      <c r="G5061"/>
      <c r="H5061"/>
      <c r="I5061"/>
      <c r="J5061"/>
      <c r="K5061"/>
      <c r="L5061"/>
      <c r="M5061"/>
      <c r="N5061"/>
      <c r="O5061"/>
      <c r="P5061"/>
      <c r="Q5061"/>
      <c r="R5061"/>
      <c r="S5061"/>
    </row>
    <row r="5062" spans="1:19" x14ac:dyDescent="0.25">
      <c r="A5062" s="1"/>
      <c r="B5062"/>
      <c r="C5062"/>
      <c r="D5062"/>
      <c r="E5062"/>
      <c r="F5062"/>
      <c r="G5062"/>
      <c r="H5062"/>
      <c r="I5062"/>
      <c r="J5062"/>
      <c r="K5062"/>
      <c r="L5062"/>
      <c r="M5062"/>
      <c r="N5062"/>
      <c r="O5062"/>
      <c r="P5062"/>
      <c r="Q5062"/>
      <c r="R5062"/>
      <c r="S5062"/>
    </row>
    <row r="5063" spans="1:19" x14ac:dyDescent="0.25">
      <c r="A5063" s="1"/>
      <c r="B5063"/>
      <c r="C5063"/>
      <c r="D5063"/>
      <c r="E5063"/>
      <c r="F5063"/>
      <c r="G5063"/>
      <c r="H5063"/>
      <c r="I5063"/>
      <c r="J5063"/>
      <c r="K5063"/>
      <c r="L5063"/>
      <c r="M5063"/>
      <c r="N5063"/>
      <c r="O5063"/>
      <c r="P5063"/>
      <c r="Q5063"/>
      <c r="R5063"/>
      <c r="S5063"/>
    </row>
    <row r="5064" spans="1:19" x14ac:dyDescent="0.25">
      <c r="A5064" s="1"/>
      <c r="B5064"/>
      <c r="C5064"/>
      <c r="D5064"/>
      <c r="E5064"/>
      <c r="F5064"/>
      <c r="G5064"/>
      <c r="H5064"/>
      <c r="I5064"/>
      <c r="J5064"/>
      <c r="K5064"/>
      <c r="L5064"/>
      <c r="M5064"/>
      <c r="N5064"/>
      <c r="O5064"/>
      <c r="P5064"/>
      <c r="Q5064"/>
      <c r="R5064"/>
      <c r="S5064"/>
    </row>
    <row r="5065" spans="1:19" x14ac:dyDescent="0.25">
      <c r="A5065" s="1"/>
      <c r="B5065"/>
      <c r="C5065"/>
      <c r="D5065"/>
      <c r="E5065"/>
      <c r="F5065"/>
      <c r="G5065"/>
      <c r="H5065"/>
      <c r="I5065"/>
      <c r="J5065"/>
      <c r="K5065"/>
      <c r="L5065"/>
      <c r="M5065"/>
      <c r="N5065"/>
      <c r="O5065"/>
      <c r="P5065"/>
      <c r="Q5065"/>
      <c r="R5065"/>
      <c r="S5065"/>
    </row>
    <row r="5066" spans="1:19" x14ac:dyDescent="0.25">
      <c r="A5066" s="1"/>
      <c r="B5066"/>
      <c r="C5066"/>
      <c r="D5066"/>
      <c r="E5066"/>
      <c r="F5066"/>
      <c r="G5066"/>
      <c r="H5066"/>
      <c r="I5066"/>
      <c r="J5066"/>
      <c r="K5066"/>
      <c r="L5066"/>
      <c r="M5066"/>
      <c r="N5066"/>
      <c r="O5066"/>
      <c r="P5066"/>
      <c r="Q5066"/>
      <c r="R5066"/>
      <c r="S5066"/>
    </row>
    <row r="5067" spans="1:19" x14ac:dyDescent="0.25">
      <c r="A5067" s="1"/>
      <c r="B5067"/>
      <c r="C5067"/>
      <c r="D5067"/>
      <c r="E5067"/>
      <c r="F5067"/>
      <c r="G5067"/>
      <c r="H5067"/>
      <c r="I5067"/>
      <c r="J5067"/>
      <c r="K5067"/>
      <c r="L5067"/>
      <c r="M5067"/>
      <c r="N5067"/>
      <c r="O5067"/>
      <c r="P5067"/>
      <c r="Q5067"/>
      <c r="R5067"/>
      <c r="S5067"/>
    </row>
    <row r="5068" spans="1:19" x14ac:dyDescent="0.25">
      <c r="A5068" s="1"/>
      <c r="B5068"/>
      <c r="C5068"/>
      <c r="D5068"/>
      <c r="E5068"/>
      <c r="F5068"/>
      <c r="G5068"/>
      <c r="H5068"/>
      <c r="I5068"/>
      <c r="J5068"/>
      <c r="K5068"/>
      <c r="L5068"/>
      <c r="M5068"/>
      <c r="N5068"/>
      <c r="O5068"/>
      <c r="P5068"/>
      <c r="Q5068"/>
      <c r="R5068"/>
      <c r="S5068"/>
    </row>
    <row r="5069" spans="1:19" x14ac:dyDescent="0.25">
      <c r="A5069" s="1"/>
      <c r="B5069"/>
      <c r="C5069"/>
      <c r="D5069"/>
      <c r="E5069"/>
      <c r="F5069"/>
      <c r="G5069"/>
      <c r="H5069"/>
      <c r="I5069"/>
      <c r="J5069"/>
      <c r="K5069"/>
      <c r="L5069"/>
      <c r="M5069"/>
      <c r="N5069"/>
      <c r="O5069"/>
      <c r="P5069"/>
      <c r="Q5069"/>
      <c r="R5069"/>
      <c r="S5069"/>
    </row>
    <row r="5070" spans="1:19" x14ac:dyDescent="0.25">
      <c r="A5070" s="1"/>
      <c r="B5070"/>
      <c r="C5070"/>
      <c r="D5070"/>
      <c r="E5070"/>
      <c r="F5070"/>
      <c r="G5070"/>
      <c r="H5070"/>
      <c r="I5070"/>
      <c r="J5070"/>
      <c r="K5070"/>
      <c r="L5070"/>
      <c r="M5070"/>
      <c r="N5070"/>
      <c r="O5070"/>
      <c r="P5070"/>
      <c r="Q5070"/>
      <c r="R5070"/>
      <c r="S5070"/>
    </row>
    <row r="5071" spans="1:19" x14ac:dyDescent="0.25">
      <c r="A5071" s="1"/>
      <c r="B5071"/>
      <c r="C5071"/>
      <c r="D5071"/>
      <c r="E5071"/>
      <c r="F5071"/>
      <c r="G5071"/>
      <c r="H5071"/>
      <c r="I5071"/>
      <c r="J5071"/>
      <c r="K5071"/>
      <c r="L5071"/>
      <c r="M5071"/>
      <c r="N5071"/>
      <c r="O5071"/>
      <c r="P5071"/>
      <c r="Q5071"/>
      <c r="R5071"/>
      <c r="S5071"/>
    </row>
    <row r="5072" spans="1:19" x14ac:dyDescent="0.25">
      <c r="A5072" s="1"/>
      <c r="B5072"/>
      <c r="C5072"/>
      <c r="D5072"/>
      <c r="E5072"/>
      <c r="F5072"/>
      <c r="G5072"/>
      <c r="H5072"/>
      <c r="I5072"/>
      <c r="J5072"/>
      <c r="K5072"/>
      <c r="L5072"/>
      <c r="M5072"/>
      <c r="N5072"/>
      <c r="O5072"/>
      <c r="P5072"/>
      <c r="Q5072"/>
      <c r="R5072"/>
      <c r="S5072"/>
    </row>
    <row r="5073" spans="1:19" x14ac:dyDescent="0.25">
      <c r="A5073" s="1"/>
      <c r="B5073"/>
      <c r="C5073"/>
      <c r="D5073"/>
      <c r="E5073"/>
      <c r="F5073"/>
      <c r="G5073"/>
      <c r="H5073"/>
      <c r="I5073"/>
      <c r="J5073"/>
      <c r="K5073"/>
      <c r="L5073"/>
      <c r="M5073"/>
      <c r="N5073"/>
      <c r="O5073"/>
      <c r="P5073"/>
      <c r="Q5073"/>
      <c r="R5073"/>
      <c r="S5073"/>
    </row>
    <row r="5074" spans="1:19" x14ac:dyDescent="0.25">
      <c r="A5074" s="1"/>
      <c r="B5074"/>
      <c r="C5074"/>
      <c r="D5074"/>
      <c r="E5074"/>
      <c r="F5074"/>
      <c r="G5074"/>
      <c r="H5074"/>
      <c r="I5074"/>
      <c r="J5074"/>
      <c r="K5074"/>
      <c r="L5074"/>
      <c r="M5074"/>
      <c r="N5074"/>
      <c r="O5074"/>
      <c r="P5074"/>
      <c r="Q5074"/>
      <c r="R5074"/>
      <c r="S5074"/>
    </row>
    <row r="5075" spans="1:19" x14ac:dyDescent="0.25">
      <c r="A5075" s="1"/>
      <c r="B5075"/>
      <c r="C5075"/>
      <c r="D5075"/>
      <c r="E5075"/>
      <c r="F5075"/>
      <c r="G5075"/>
      <c r="H5075"/>
      <c r="I5075"/>
      <c r="J5075"/>
      <c r="K5075"/>
      <c r="L5075"/>
      <c r="M5075"/>
      <c r="N5075"/>
      <c r="O5075"/>
      <c r="P5075"/>
      <c r="Q5075"/>
      <c r="R5075"/>
      <c r="S5075"/>
    </row>
    <row r="5076" spans="1:19" x14ac:dyDescent="0.25">
      <c r="A5076" s="1"/>
      <c r="B5076"/>
      <c r="C5076"/>
      <c r="D5076"/>
      <c r="E5076"/>
      <c r="F5076"/>
      <c r="G5076"/>
      <c r="H5076"/>
      <c r="I5076"/>
      <c r="J5076"/>
      <c r="K5076"/>
      <c r="L5076"/>
      <c r="M5076"/>
      <c r="N5076"/>
      <c r="O5076"/>
      <c r="P5076"/>
      <c r="Q5076"/>
      <c r="R5076"/>
      <c r="S5076"/>
    </row>
    <row r="5077" spans="1:19" x14ac:dyDescent="0.25">
      <c r="A5077" s="1"/>
      <c r="B5077"/>
      <c r="C5077"/>
      <c r="D5077"/>
      <c r="E5077"/>
      <c r="F5077"/>
      <c r="G5077"/>
      <c r="H5077"/>
      <c r="I5077"/>
      <c r="J5077"/>
      <c r="K5077"/>
      <c r="L5077"/>
      <c r="M5077"/>
      <c r="N5077"/>
      <c r="O5077"/>
      <c r="P5077"/>
      <c r="Q5077"/>
      <c r="R5077"/>
      <c r="S5077"/>
    </row>
    <row r="5078" spans="1:19" x14ac:dyDescent="0.25">
      <c r="A5078" s="1"/>
      <c r="B5078"/>
      <c r="C5078"/>
      <c r="D5078"/>
      <c r="E5078"/>
      <c r="F5078"/>
      <c r="G5078"/>
      <c r="H5078"/>
      <c r="I5078"/>
      <c r="J5078"/>
      <c r="K5078"/>
      <c r="L5078"/>
      <c r="M5078"/>
      <c r="N5078"/>
      <c r="O5078"/>
      <c r="P5078"/>
      <c r="Q5078"/>
      <c r="R5078"/>
      <c r="S5078"/>
    </row>
    <row r="5079" spans="1:19" x14ac:dyDescent="0.25">
      <c r="A5079" s="1"/>
      <c r="B5079"/>
      <c r="C5079"/>
      <c r="D5079"/>
      <c r="E5079"/>
      <c r="F5079"/>
      <c r="G5079"/>
      <c r="H5079"/>
      <c r="I5079"/>
      <c r="J5079"/>
      <c r="K5079"/>
      <c r="L5079"/>
      <c r="M5079"/>
      <c r="N5079"/>
      <c r="O5079"/>
      <c r="P5079"/>
      <c r="Q5079"/>
      <c r="R5079"/>
      <c r="S5079"/>
    </row>
    <row r="5080" spans="1:19" x14ac:dyDescent="0.25">
      <c r="A5080" s="1"/>
      <c r="B5080"/>
      <c r="C5080"/>
      <c r="D5080"/>
      <c r="E5080"/>
      <c r="F5080"/>
      <c r="G5080"/>
      <c r="H5080"/>
      <c r="I5080"/>
      <c r="J5080"/>
      <c r="K5080"/>
      <c r="L5080"/>
      <c r="M5080"/>
      <c r="N5080"/>
      <c r="O5080"/>
      <c r="P5080"/>
      <c r="Q5080"/>
      <c r="R5080"/>
      <c r="S5080"/>
    </row>
    <row r="5081" spans="1:19" x14ac:dyDescent="0.25">
      <c r="A5081" s="1"/>
      <c r="B5081"/>
      <c r="C5081"/>
      <c r="D5081"/>
      <c r="E5081"/>
      <c r="F5081"/>
      <c r="G5081"/>
      <c r="H5081"/>
      <c r="I5081"/>
      <c r="J5081"/>
      <c r="K5081"/>
      <c r="L5081"/>
      <c r="M5081"/>
      <c r="N5081"/>
      <c r="O5081"/>
      <c r="P5081"/>
      <c r="Q5081"/>
      <c r="R5081"/>
      <c r="S5081"/>
    </row>
    <row r="5082" spans="1:19" x14ac:dyDescent="0.25">
      <c r="A5082" s="1"/>
      <c r="B5082"/>
      <c r="C5082"/>
      <c r="D5082"/>
      <c r="E5082"/>
      <c r="F5082"/>
      <c r="G5082"/>
      <c r="H5082"/>
      <c r="I5082"/>
      <c r="J5082"/>
      <c r="K5082"/>
      <c r="L5082"/>
      <c r="M5082"/>
      <c r="N5082"/>
      <c r="O5082"/>
      <c r="P5082"/>
      <c r="Q5082"/>
      <c r="R5082"/>
      <c r="S5082"/>
    </row>
    <row r="5083" spans="1:19" x14ac:dyDescent="0.25">
      <c r="A5083" s="1"/>
      <c r="B5083"/>
      <c r="C5083"/>
      <c r="D5083"/>
      <c r="E5083"/>
      <c r="F5083"/>
      <c r="G5083"/>
      <c r="H5083"/>
      <c r="I5083"/>
      <c r="J5083"/>
      <c r="K5083"/>
      <c r="L5083"/>
      <c r="M5083"/>
      <c r="N5083"/>
      <c r="O5083"/>
      <c r="P5083"/>
      <c r="Q5083"/>
      <c r="R5083"/>
      <c r="S5083"/>
    </row>
    <row r="5084" spans="1:19" x14ac:dyDescent="0.25">
      <c r="A5084" s="1"/>
      <c r="B5084"/>
      <c r="C5084"/>
      <c r="D5084"/>
      <c r="E5084"/>
      <c r="F5084"/>
      <c r="G5084"/>
      <c r="H5084"/>
      <c r="I5084"/>
      <c r="J5084"/>
      <c r="K5084"/>
      <c r="L5084"/>
      <c r="M5084"/>
      <c r="N5084"/>
      <c r="O5084"/>
      <c r="P5084"/>
      <c r="Q5084"/>
      <c r="R5084"/>
      <c r="S5084"/>
    </row>
    <row r="5085" spans="1:19" x14ac:dyDescent="0.25">
      <c r="A5085" s="1"/>
      <c r="B5085"/>
      <c r="C5085"/>
      <c r="D5085"/>
      <c r="E5085"/>
      <c r="F5085"/>
      <c r="G5085"/>
      <c r="H5085"/>
      <c r="I5085"/>
      <c r="J5085"/>
      <c r="K5085"/>
      <c r="L5085"/>
      <c r="M5085"/>
      <c r="N5085"/>
      <c r="O5085"/>
      <c r="P5085"/>
      <c r="Q5085"/>
      <c r="R5085"/>
      <c r="S5085"/>
    </row>
    <row r="5086" spans="1:19" x14ac:dyDescent="0.25">
      <c r="A5086" s="1"/>
      <c r="B5086"/>
      <c r="C5086"/>
      <c r="D5086"/>
      <c r="E5086"/>
      <c r="F5086"/>
      <c r="G5086"/>
      <c r="H5086"/>
      <c r="I5086"/>
      <c r="J5086"/>
      <c r="K5086"/>
      <c r="L5086"/>
      <c r="M5086"/>
      <c r="N5086"/>
      <c r="O5086"/>
      <c r="P5086"/>
      <c r="Q5086"/>
      <c r="R5086"/>
      <c r="S5086"/>
    </row>
    <row r="5087" spans="1:19" x14ac:dyDescent="0.25">
      <c r="A5087" s="1"/>
      <c r="B5087"/>
      <c r="C5087"/>
      <c r="D5087"/>
      <c r="E5087"/>
      <c r="F5087"/>
      <c r="G5087"/>
      <c r="H5087"/>
      <c r="I5087"/>
      <c r="J5087"/>
      <c r="K5087"/>
      <c r="L5087"/>
      <c r="M5087"/>
      <c r="N5087"/>
      <c r="O5087"/>
      <c r="P5087"/>
      <c r="Q5087"/>
      <c r="R5087"/>
      <c r="S5087"/>
    </row>
    <row r="5088" spans="1:19" x14ac:dyDescent="0.25">
      <c r="A5088" s="1"/>
      <c r="B5088"/>
      <c r="C5088"/>
      <c r="D5088"/>
      <c r="E5088"/>
      <c r="F5088"/>
      <c r="G5088"/>
      <c r="H5088"/>
      <c r="I5088"/>
      <c r="J5088"/>
      <c r="K5088"/>
      <c r="L5088"/>
      <c r="M5088"/>
      <c r="N5088"/>
      <c r="O5088"/>
      <c r="P5088"/>
      <c r="Q5088"/>
      <c r="R5088"/>
      <c r="S5088"/>
    </row>
    <row r="5089" spans="1:19" x14ac:dyDescent="0.25">
      <c r="A5089" s="1"/>
      <c r="B5089"/>
      <c r="C5089"/>
      <c r="D5089"/>
      <c r="E5089"/>
      <c r="F5089"/>
      <c r="G5089"/>
      <c r="H5089"/>
      <c r="I5089"/>
      <c r="J5089"/>
      <c r="K5089"/>
      <c r="L5089"/>
      <c r="M5089"/>
      <c r="N5089"/>
      <c r="O5089"/>
      <c r="P5089"/>
      <c r="Q5089"/>
      <c r="R5089"/>
      <c r="S5089"/>
    </row>
    <row r="5090" spans="1:19" x14ac:dyDescent="0.25">
      <c r="A5090" s="1"/>
      <c r="B5090"/>
      <c r="C5090"/>
      <c r="D5090"/>
      <c r="E5090"/>
      <c r="F5090"/>
      <c r="G5090"/>
      <c r="H5090"/>
      <c r="I5090"/>
      <c r="J5090"/>
      <c r="K5090"/>
      <c r="L5090"/>
      <c r="M5090"/>
      <c r="N5090"/>
      <c r="O5090"/>
      <c r="P5090"/>
      <c r="Q5090"/>
      <c r="R5090"/>
      <c r="S5090"/>
    </row>
    <row r="5091" spans="1:19" x14ac:dyDescent="0.25">
      <c r="A5091" s="1"/>
      <c r="B5091"/>
      <c r="C5091"/>
      <c r="D5091"/>
      <c r="E5091"/>
      <c r="F5091"/>
      <c r="G5091"/>
      <c r="H5091"/>
      <c r="I5091"/>
      <c r="J5091"/>
      <c r="K5091"/>
      <c r="L5091"/>
      <c r="M5091"/>
      <c r="N5091"/>
      <c r="O5091"/>
      <c r="P5091"/>
      <c r="Q5091"/>
      <c r="R5091"/>
      <c r="S5091"/>
    </row>
    <row r="5092" spans="1:19" x14ac:dyDescent="0.25">
      <c r="A5092" s="1"/>
      <c r="B5092"/>
      <c r="C5092"/>
      <c r="D5092"/>
      <c r="E5092"/>
      <c r="F5092"/>
      <c r="G5092"/>
      <c r="H5092"/>
      <c r="I5092"/>
      <c r="J5092"/>
      <c r="K5092"/>
      <c r="L5092"/>
      <c r="M5092"/>
      <c r="N5092"/>
      <c r="O5092"/>
      <c r="P5092"/>
      <c r="Q5092"/>
      <c r="R5092"/>
      <c r="S5092"/>
    </row>
    <row r="5093" spans="1:19" x14ac:dyDescent="0.25">
      <c r="A5093" s="1"/>
      <c r="B5093"/>
      <c r="C5093"/>
      <c r="D5093"/>
      <c r="E5093"/>
      <c r="F5093"/>
      <c r="G5093"/>
      <c r="H5093"/>
      <c r="I5093"/>
      <c r="J5093"/>
      <c r="K5093"/>
      <c r="L5093"/>
      <c r="M5093"/>
      <c r="N5093"/>
      <c r="O5093"/>
      <c r="P5093"/>
      <c r="Q5093"/>
      <c r="R5093"/>
      <c r="S5093"/>
    </row>
    <row r="5094" spans="1:19" x14ac:dyDescent="0.25">
      <c r="A5094" s="1"/>
      <c r="B5094"/>
      <c r="C5094"/>
      <c r="D5094"/>
      <c r="E5094"/>
      <c r="F5094"/>
      <c r="G5094"/>
      <c r="H5094"/>
      <c r="I5094"/>
      <c r="J5094"/>
      <c r="K5094"/>
      <c r="L5094"/>
      <c r="M5094"/>
      <c r="N5094"/>
      <c r="O5094"/>
      <c r="P5094"/>
      <c r="Q5094"/>
      <c r="R5094"/>
      <c r="S5094"/>
    </row>
    <row r="5095" spans="1:19" x14ac:dyDescent="0.25">
      <c r="A5095" s="1"/>
      <c r="B5095"/>
      <c r="C5095"/>
      <c r="D5095"/>
      <c r="E5095"/>
      <c r="F5095"/>
      <c r="G5095"/>
      <c r="H5095"/>
      <c r="I5095"/>
      <c r="J5095"/>
      <c r="K5095"/>
      <c r="L5095"/>
      <c r="M5095"/>
      <c r="N5095"/>
      <c r="O5095"/>
      <c r="P5095"/>
      <c r="Q5095"/>
      <c r="R5095"/>
      <c r="S5095"/>
    </row>
    <row r="5096" spans="1:19" x14ac:dyDescent="0.25">
      <c r="A5096" s="1"/>
      <c r="B5096"/>
      <c r="C5096"/>
      <c r="D5096"/>
      <c r="E5096"/>
      <c r="F5096"/>
      <c r="G5096"/>
      <c r="H5096"/>
      <c r="I5096"/>
      <c r="J5096"/>
      <c r="K5096"/>
      <c r="L5096"/>
      <c r="M5096"/>
      <c r="N5096"/>
      <c r="O5096"/>
      <c r="P5096"/>
      <c r="Q5096"/>
      <c r="R5096"/>
      <c r="S5096"/>
    </row>
    <row r="5097" spans="1:19" x14ac:dyDescent="0.25">
      <c r="A5097" s="1"/>
      <c r="B5097"/>
      <c r="C5097"/>
      <c r="D5097"/>
      <c r="E5097"/>
      <c r="F5097"/>
      <c r="G5097"/>
      <c r="H5097"/>
      <c r="I5097"/>
      <c r="J5097"/>
      <c r="K5097"/>
      <c r="L5097"/>
      <c r="M5097"/>
      <c r="N5097"/>
      <c r="O5097"/>
      <c r="P5097"/>
      <c r="Q5097"/>
      <c r="R5097"/>
      <c r="S5097"/>
    </row>
    <row r="5098" spans="1:19" x14ac:dyDescent="0.25">
      <c r="A5098" s="1"/>
      <c r="B5098"/>
      <c r="C5098"/>
      <c r="D5098"/>
      <c r="E5098"/>
      <c r="F5098"/>
      <c r="G5098"/>
      <c r="H5098"/>
      <c r="I5098"/>
      <c r="J5098"/>
      <c r="K5098"/>
      <c r="L5098"/>
      <c r="M5098"/>
      <c r="N5098"/>
      <c r="O5098"/>
      <c r="P5098"/>
      <c r="Q5098"/>
      <c r="R5098"/>
      <c r="S5098"/>
    </row>
    <row r="5099" spans="1:19" x14ac:dyDescent="0.25">
      <c r="A5099" s="1"/>
      <c r="B5099"/>
      <c r="C5099"/>
      <c r="D5099"/>
      <c r="E5099"/>
      <c r="F5099"/>
      <c r="G5099"/>
      <c r="H5099"/>
      <c r="I5099"/>
      <c r="J5099"/>
      <c r="K5099"/>
      <c r="L5099"/>
      <c r="M5099"/>
      <c r="N5099"/>
      <c r="O5099"/>
      <c r="P5099"/>
      <c r="Q5099"/>
      <c r="R5099"/>
      <c r="S5099"/>
    </row>
    <row r="5100" spans="1:19" x14ac:dyDescent="0.25">
      <c r="A5100" s="1"/>
      <c r="B5100"/>
      <c r="C5100"/>
      <c r="D5100"/>
      <c r="E5100"/>
      <c r="F5100"/>
      <c r="G5100"/>
      <c r="H5100"/>
      <c r="I5100"/>
      <c r="J5100"/>
      <c r="K5100"/>
      <c r="L5100"/>
      <c r="M5100"/>
      <c r="N5100"/>
      <c r="O5100"/>
      <c r="P5100"/>
      <c r="Q5100"/>
      <c r="R5100"/>
      <c r="S5100"/>
    </row>
    <row r="5101" spans="1:19" x14ac:dyDescent="0.25">
      <c r="A5101" s="1"/>
      <c r="B5101"/>
      <c r="C5101"/>
      <c r="D5101"/>
      <c r="E5101"/>
      <c r="F5101"/>
      <c r="G5101"/>
      <c r="H5101"/>
      <c r="I5101"/>
      <c r="J5101"/>
      <c r="K5101"/>
      <c r="L5101"/>
      <c r="M5101"/>
      <c r="N5101"/>
      <c r="O5101"/>
      <c r="P5101"/>
      <c r="Q5101"/>
      <c r="R5101"/>
      <c r="S5101"/>
    </row>
    <row r="5102" spans="1:19" x14ac:dyDescent="0.25">
      <c r="A5102" s="1"/>
      <c r="B5102"/>
      <c r="C5102"/>
      <c r="D5102"/>
      <c r="E5102"/>
      <c r="F5102"/>
      <c r="G5102"/>
      <c r="H5102"/>
      <c r="I5102"/>
      <c r="J5102"/>
      <c r="K5102"/>
      <c r="L5102"/>
      <c r="M5102"/>
      <c r="N5102"/>
      <c r="O5102"/>
      <c r="P5102"/>
      <c r="Q5102"/>
      <c r="R5102"/>
      <c r="S5102"/>
    </row>
    <row r="5103" spans="1:19" x14ac:dyDescent="0.25">
      <c r="A5103" s="1"/>
      <c r="B5103"/>
      <c r="C5103"/>
      <c r="D5103"/>
      <c r="E5103"/>
      <c r="F5103"/>
      <c r="G5103"/>
      <c r="H5103"/>
      <c r="I5103"/>
      <c r="J5103"/>
      <c r="K5103"/>
      <c r="L5103"/>
      <c r="M5103"/>
      <c r="N5103"/>
      <c r="O5103"/>
      <c r="P5103"/>
      <c r="Q5103"/>
      <c r="R5103"/>
      <c r="S5103"/>
    </row>
    <row r="5104" spans="1:19" x14ac:dyDescent="0.25">
      <c r="A5104" s="1"/>
      <c r="B5104"/>
      <c r="C5104"/>
      <c r="D5104"/>
      <c r="E5104"/>
      <c r="F5104"/>
      <c r="G5104"/>
      <c r="H5104"/>
      <c r="I5104"/>
      <c r="J5104"/>
      <c r="K5104"/>
      <c r="L5104"/>
      <c r="M5104"/>
      <c r="N5104"/>
      <c r="O5104"/>
      <c r="P5104"/>
      <c r="Q5104"/>
      <c r="R5104"/>
      <c r="S5104"/>
    </row>
    <row r="5105" spans="1:19" x14ac:dyDescent="0.25">
      <c r="A5105" s="1"/>
      <c r="B5105"/>
      <c r="C5105"/>
      <c r="D5105"/>
      <c r="E5105"/>
      <c r="F5105"/>
      <c r="G5105"/>
      <c r="H5105"/>
      <c r="I5105"/>
      <c r="J5105"/>
      <c r="K5105"/>
      <c r="L5105"/>
      <c r="M5105"/>
      <c r="N5105"/>
      <c r="O5105"/>
      <c r="P5105"/>
      <c r="Q5105"/>
      <c r="R5105"/>
      <c r="S5105"/>
    </row>
    <row r="5106" spans="1:19" x14ac:dyDescent="0.25">
      <c r="A5106" s="1"/>
      <c r="B5106"/>
      <c r="C5106"/>
      <c r="D5106"/>
      <c r="E5106"/>
      <c r="F5106"/>
      <c r="G5106"/>
      <c r="H5106"/>
      <c r="I5106"/>
      <c r="J5106"/>
      <c r="K5106"/>
      <c r="L5106"/>
      <c r="M5106"/>
      <c r="N5106"/>
      <c r="O5106"/>
      <c r="P5106"/>
      <c r="Q5106"/>
      <c r="R5106"/>
      <c r="S5106"/>
    </row>
    <row r="5107" spans="1:19" x14ac:dyDescent="0.25">
      <c r="A5107" s="1"/>
      <c r="B5107"/>
      <c r="C5107"/>
      <c r="D5107"/>
      <c r="E5107"/>
      <c r="F5107"/>
      <c r="G5107"/>
      <c r="H5107"/>
      <c r="I5107"/>
      <c r="J5107"/>
      <c r="K5107"/>
      <c r="L5107"/>
      <c r="M5107"/>
      <c r="N5107"/>
      <c r="O5107"/>
      <c r="P5107"/>
      <c r="Q5107"/>
      <c r="R5107"/>
      <c r="S5107"/>
    </row>
    <row r="5108" spans="1:19" x14ac:dyDescent="0.25">
      <c r="A5108" s="1"/>
      <c r="B5108"/>
      <c r="C5108"/>
      <c r="D5108"/>
      <c r="E5108"/>
      <c r="F5108"/>
      <c r="G5108"/>
      <c r="H5108"/>
      <c r="I5108"/>
      <c r="J5108"/>
      <c r="K5108"/>
      <c r="L5108"/>
      <c r="M5108"/>
      <c r="N5108"/>
      <c r="O5108"/>
      <c r="P5108"/>
      <c r="Q5108"/>
      <c r="R5108"/>
      <c r="S5108"/>
    </row>
    <row r="5109" spans="1:19" x14ac:dyDescent="0.25">
      <c r="A5109" s="1"/>
      <c r="B5109"/>
      <c r="C5109"/>
      <c r="D5109"/>
      <c r="E5109"/>
      <c r="F5109"/>
      <c r="G5109"/>
      <c r="H5109"/>
      <c r="I5109"/>
      <c r="J5109"/>
      <c r="K5109"/>
      <c r="L5109"/>
      <c r="M5109"/>
      <c r="N5109"/>
      <c r="O5109"/>
      <c r="P5109"/>
      <c r="Q5109"/>
      <c r="R5109"/>
      <c r="S5109"/>
    </row>
    <row r="5110" spans="1:19" x14ac:dyDescent="0.25">
      <c r="A5110" s="1"/>
      <c r="B5110"/>
      <c r="C5110"/>
      <c r="D5110"/>
      <c r="E5110"/>
      <c r="F5110"/>
      <c r="G5110"/>
      <c r="H5110"/>
      <c r="I5110"/>
      <c r="J5110"/>
      <c r="K5110"/>
      <c r="L5110"/>
      <c r="M5110"/>
      <c r="N5110"/>
      <c r="O5110"/>
      <c r="P5110"/>
      <c r="Q5110"/>
      <c r="R5110"/>
      <c r="S5110"/>
    </row>
    <row r="5111" spans="1:19" x14ac:dyDescent="0.25">
      <c r="A5111" s="1"/>
      <c r="B5111"/>
      <c r="C5111"/>
      <c r="D5111"/>
      <c r="E5111"/>
      <c r="F5111"/>
      <c r="G5111"/>
      <c r="H5111"/>
      <c r="I5111"/>
      <c r="J5111"/>
      <c r="K5111"/>
      <c r="L5111"/>
      <c r="M5111"/>
      <c r="N5111"/>
      <c r="O5111"/>
      <c r="P5111"/>
      <c r="Q5111"/>
      <c r="R5111"/>
      <c r="S5111"/>
    </row>
    <row r="5112" spans="1:19" x14ac:dyDescent="0.25">
      <c r="A5112" s="1"/>
      <c r="B5112"/>
      <c r="C5112"/>
      <c r="D5112"/>
      <c r="E5112"/>
      <c r="F5112"/>
      <c r="G5112"/>
      <c r="H5112"/>
      <c r="I5112"/>
      <c r="J5112"/>
      <c r="K5112"/>
      <c r="L5112"/>
      <c r="M5112"/>
      <c r="N5112"/>
      <c r="O5112"/>
      <c r="P5112"/>
      <c r="Q5112"/>
      <c r="R5112"/>
      <c r="S5112"/>
    </row>
    <row r="5113" spans="1:19" x14ac:dyDescent="0.25">
      <c r="A5113" s="1"/>
      <c r="B5113"/>
      <c r="C5113"/>
      <c r="D5113"/>
      <c r="E5113"/>
      <c r="F5113"/>
      <c r="G5113"/>
      <c r="H5113"/>
      <c r="I5113"/>
      <c r="J5113"/>
      <c r="K5113"/>
      <c r="L5113"/>
      <c r="M5113"/>
      <c r="N5113"/>
      <c r="O5113"/>
      <c r="P5113"/>
      <c r="Q5113"/>
      <c r="R5113"/>
      <c r="S5113"/>
    </row>
    <row r="5114" spans="1:19" x14ac:dyDescent="0.25">
      <c r="A5114" s="1"/>
      <c r="B5114"/>
      <c r="C5114"/>
      <c r="D5114"/>
      <c r="E5114"/>
      <c r="F5114"/>
      <c r="G5114"/>
      <c r="H5114"/>
      <c r="I5114"/>
      <c r="J5114"/>
      <c r="K5114"/>
      <c r="L5114"/>
      <c r="M5114"/>
      <c r="N5114"/>
      <c r="O5114"/>
      <c r="P5114"/>
      <c r="Q5114"/>
      <c r="R5114"/>
      <c r="S5114"/>
    </row>
    <row r="5115" spans="1:19" x14ac:dyDescent="0.25">
      <c r="A5115" s="1"/>
      <c r="B5115"/>
      <c r="C5115"/>
      <c r="D5115"/>
      <c r="E5115"/>
      <c r="F5115"/>
      <c r="G5115"/>
      <c r="H5115"/>
      <c r="I5115"/>
      <c r="J5115"/>
      <c r="K5115"/>
      <c r="L5115"/>
      <c r="M5115"/>
      <c r="N5115"/>
      <c r="O5115"/>
      <c r="P5115"/>
      <c r="Q5115"/>
      <c r="R5115"/>
      <c r="S5115"/>
    </row>
    <row r="5116" spans="1:19" x14ac:dyDescent="0.25">
      <c r="A5116" s="1"/>
      <c r="B5116"/>
      <c r="C5116"/>
      <c r="D5116"/>
      <c r="E5116"/>
      <c r="F5116"/>
      <c r="G5116"/>
      <c r="H5116"/>
      <c r="I5116"/>
      <c r="J5116"/>
      <c r="K5116"/>
      <c r="L5116"/>
      <c r="M5116"/>
      <c r="N5116"/>
      <c r="O5116"/>
      <c r="P5116"/>
      <c r="Q5116"/>
      <c r="R5116"/>
      <c r="S5116"/>
    </row>
    <row r="5117" spans="1:19" x14ac:dyDescent="0.25">
      <c r="A5117" s="1"/>
      <c r="B5117"/>
      <c r="C5117"/>
      <c r="D5117"/>
      <c r="E5117"/>
      <c r="F5117"/>
      <c r="G5117"/>
      <c r="H5117"/>
      <c r="I5117"/>
      <c r="J5117"/>
      <c r="K5117"/>
      <c r="L5117"/>
      <c r="M5117"/>
      <c r="N5117"/>
      <c r="O5117"/>
      <c r="P5117"/>
      <c r="Q5117"/>
      <c r="R5117"/>
      <c r="S5117"/>
    </row>
    <row r="5118" spans="1:19" x14ac:dyDescent="0.25">
      <c r="A5118" s="1"/>
      <c r="B5118"/>
      <c r="C5118"/>
      <c r="D5118"/>
      <c r="E5118"/>
      <c r="F5118"/>
      <c r="G5118"/>
      <c r="H5118"/>
      <c r="I5118"/>
      <c r="J5118"/>
      <c r="K5118"/>
      <c r="L5118"/>
      <c r="M5118"/>
      <c r="N5118"/>
      <c r="O5118"/>
      <c r="P5118"/>
      <c r="Q5118"/>
      <c r="R5118"/>
      <c r="S5118"/>
    </row>
    <row r="5119" spans="1:19" x14ac:dyDescent="0.25">
      <c r="A5119" s="1"/>
      <c r="B5119"/>
      <c r="C5119"/>
      <c r="D5119"/>
      <c r="E5119"/>
      <c r="F5119"/>
      <c r="G5119"/>
      <c r="H5119"/>
      <c r="I5119"/>
      <c r="J5119"/>
      <c r="K5119"/>
      <c r="L5119"/>
      <c r="M5119"/>
      <c r="N5119"/>
      <c r="O5119"/>
      <c r="P5119"/>
      <c r="Q5119"/>
      <c r="R5119"/>
      <c r="S5119"/>
    </row>
    <row r="5120" spans="1:19" x14ac:dyDescent="0.25">
      <c r="A5120" s="1"/>
      <c r="B5120"/>
      <c r="C5120"/>
      <c r="D5120"/>
      <c r="E5120"/>
      <c r="F5120"/>
      <c r="G5120"/>
      <c r="H5120"/>
      <c r="I5120"/>
      <c r="J5120"/>
      <c r="K5120"/>
      <c r="L5120"/>
      <c r="M5120"/>
      <c r="N5120"/>
      <c r="O5120"/>
      <c r="P5120"/>
      <c r="Q5120"/>
      <c r="R5120"/>
      <c r="S5120"/>
    </row>
    <row r="5121" spans="1:19" x14ac:dyDescent="0.25">
      <c r="A5121" s="1"/>
      <c r="B5121"/>
      <c r="C5121"/>
      <c r="D5121"/>
      <c r="E5121"/>
      <c r="F5121"/>
      <c r="G5121"/>
      <c r="H5121"/>
      <c r="I5121"/>
      <c r="J5121"/>
      <c r="K5121"/>
      <c r="L5121"/>
      <c r="M5121"/>
      <c r="N5121"/>
      <c r="O5121"/>
      <c r="P5121"/>
      <c r="Q5121"/>
      <c r="R5121"/>
      <c r="S5121"/>
    </row>
    <row r="5122" spans="1:19" x14ac:dyDescent="0.25">
      <c r="A5122" s="1"/>
      <c r="B5122"/>
      <c r="C5122"/>
      <c r="D5122"/>
      <c r="E5122"/>
      <c r="F5122"/>
      <c r="G5122"/>
      <c r="H5122"/>
      <c r="I5122"/>
      <c r="J5122"/>
      <c r="K5122"/>
      <c r="L5122"/>
      <c r="M5122"/>
      <c r="N5122"/>
      <c r="O5122"/>
      <c r="P5122"/>
      <c r="Q5122"/>
      <c r="R5122"/>
      <c r="S5122"/>
    </row>
    <row r="5123" spans="1:19" x14ac:dyDescent="0.25">
      <c r="A5123" s="1"/>
      <c r="B5123"/>
      <c r="C5123"/>
      <c r="D5123"/>
      <c r="E5123"/>
      <c r="F5123"/>
      <c r="G5123"/>
      <c r="H5123"/>
      <c r="I5123"/>
      <c r="J5123"/>
      <c r="K5123"/>
      <c r="L5123"/>
      <c r="M5123"/>
      <c r="N5123"/>
      <c r="O5123"/>
      <c r="P5123"/>
      <c r="Q5123"/>
      <c r="R5123"/>
      <c r="S5123"/>
    </row>
    <row r="5124" spans="1:19" x14ac:dyDescent="0.25">
      <c r="A5124" s="1"/>
      <c r="B5124"/>
      <c r="C5124"/>
      <c r="D5124"/>
      <c r="E5124"/>
      <c r="F5124"/>
      <c r="G5124"/>
      <c r="H5124"/>
      <c r="I5124"/>
      <c r="J5124"/>
      <c r="K5124"/>
      <c r="L5124"/>
      <c r="M5124"/>
      <c r="N5124"/>
      <c r="O5124"/>
      <c r="P5124"/>
      <c r="Q5124"/>
      <c r="R5124"/>
      <c r="S5124"/>
    </row>
    <row r="5125" spans="1:19" x14ac:dyDescent="0.25">
      <c r="A5125" s="1"/>
      <c r="B5125"/>
      <c r="C5125"/>
      <c r="D5125"/>
      <c r="E5125"/>
      <c r="F5125"/>
      <c r="G5125"/>
      <c r="H5125"/>
      <c r="I5125"/>
      <c r="J5125"/>
      <c r="K5125"/>
      <c r="L5125"/>
      <c r="M5125"/>
      <c r="N5125"/>
      <c r="O5125"/>
      <c r="P5125"/>
      <c r="Q5125"/>
      <c r="R5125"/>
      <c r="S5125"/>
    </row>
    <row r="5126" spans="1:19" x14ac:dyDescent="0.25">
      <c r="A5126" s="1"/>
      <c r="B5126"/>
      <c r="C5126"/>
      <c r="D5126"/>
      <c r="E5126"/>
      <c r="F5126"/>
      <c r="G5126"/>
      <c r="H5126"/>
      <c r="I5126"/>
      <c r="J5126"/>
      <c r="K5126"/>
      <c r="L5126"/>
      <c r="M5126"/>
      <c r="N5126"/>
      <c r="O5126"/>
      <c r="P5126"/>
      <c r="Q5126"/>
      <c r="R5126"/>
      <c r="S5126"/>
    </row>
    <row r="5127" spans="1:19" x14ac:dyDescent="0.25">
      <c r="A5127" s="1"/>
      <c r="B5127"/>
      <c r="C5127"/>
      <c r="D5127"/>
      <c r="E5127"/>
      <c r="F5127"/>
      <c r="G5127"/>
      <c r="H5127"/>
      <c r="I5127"/>
      <c r="J5127"/>
      <c r="K5127"/>
      <c r="L5127"/>
      <c r="M5127"/>
      <c r="N5127"/>
      <c r="O5127"/>
      <c r="P5127"/>
      <c r="Q5127"/>
      <c r="R5127"/>
      <c r="S5127"/>
    </row>
    <row r="5128" spans="1:19" x14ac:dyDescent="0.25">
      <c r="A5128" s="1"/>
      <c r="B5128"/>
      <c r="C5128"/>
      <c r="D5128"/>
      <c r="E5128"/>
      <c r="F5128"/>
      <c r="G5128"/>
      <c r="H5128"/>
      <c r="I5128"/>
      <c r="J5128"/>
      <c r="K5128"/>
      <c r="L5128"/>
      <c r="M5128"/>
      <c r="N5128"/>
      <c r="O5128"/>
      <c r="P5128"/>
      <c r="Q5128"/>
      <c r="R5128"/>
      <c r="S5128"/>
    </row>
    <row r="5129" spans="1:19" x14ac:dyDescent="0.25">
      <c r="A5129" s="1"/>
      <c r="B5129"/>
      <c r="C5129"/>
      <c r="D5129"/>
      <c r="E5129"/>
      <c r="F5129"/>
      <c r="G5129"/>
      <c r="H5129"/>
      <c r="I5129"/>
      <c r="J5129"/>
      <c r="K5129"/>
      <c r="L5129"/>
      <c r="M5129"/>
      <c r="N5129"/>
      <c r="O5129"/>
      <c r="P5129"/>
      <c r="Q5129"/>
      <c r="R5129"/>
      <c r="S5129"/>
    </row>
    <row r="5130" spans="1:19" x14ac:dyDescent="0.25">
      <c r="A5130" s="1"/>
      <c r="B5130"/>
      <c r="C5130"/>
      <c r="D5130"/>
      <c r="E5130"/>
      <c r="F5130"/>
      <c r="G5130"/>
      <c r="H5130"/>
      <c r="I5130"/>
      <c r="J5130"/>
      <c r="K5130"/>
      <c r="L5130"/>
      <c r="M5130"/>
      <c r="N5130"/>
      <c r="O5130"/>
      <c r="P5130"/>
      <c r="Q5130"/>
      <c r="R5130"/>
      <c r="S5130"/>
    </row>
    <row r="5131" spans="1:19" x14ac:dyDescent="0.25">
      <c r="A5131" s="1"/>
      <c r="B5131"/>
      <c r="C5131"/>
      <c r="D5131"/>
      <c r="E5131"/>
      <c r="F5131"/>
      <c r="G5131"/>
      <c r="H5131"/>
      <c r="I5131"/>
      <c r="J5131"/>
      <c r="K5131"/>
      <c r="L5131"/>
      <c r="M5131"/>
      <c r="N5131"/>
      <c r="O5131"/>
      <c r="P5131"/>
      <c r="Q5131"/>
      <c r="R5131"/>
      <c r="S5131"/>
    </row>
    <row r="5132" spans="1:19" x14ac:dyDescent="0.25">
      <c r="A5132" s="1"/>
      <c r="B5132"/>
      <c r="C5132"/>
      <c r="D5132"/>
      <c r="E5132"/>
      <c r="F5132"/>
      <c r="G5132"/>
      <c r="H5132"/>
      <c r="I5132"/>
      <c r="J5132"/>
      <c r="K5132"/>
      <c r="L5132"/>
      <c r="M5132"/>
      <c r="N5132"/>
      <c r="O5132"/>
      <c r="P5132"/>
      <c r="Q5132"/>
      <c r="R5132"/>
      <c r="S5132"/>
    </row>
    <row r="5133" spans="1:19" x14ac:dyDescent="0.25">
      <c r="A5133" s="1"/>
      <c r="B5133"/>
      <c r="C5133"/>
      <c r="D5133"/>
      <c r="E5133"/>
      <c r="F5133"/>
      <c r="G5133"/>
      <c r="H5133"/>
      <c r="I5133"/>
      <c r="J5133"/>
      <c r="K5133"/>
      <c r="L5133"/>
      <c r="M5133"/>
      <c r="N5133"/>
      <c r="O5133"/>
      <c r="P5133"/>
      <c r="Q5133"/>
      <c r="R5133"/>
      <c r="S5133"/>
    </row>
    <row r="5134" spans="1:19" x14ac:dyDescent="0.25">
      <c r="A5134" s="1"/>
      <c r="B5134"/>
      <c r="C5134"/>
      <c r="D5134"/>
      <c r="E5134"/>
      <c r="F5134"/>
      <c r="G5134"/>
      <c r="H5134"/>
      <c r="I5134"/>
      <c r="J5134"/>
      <c r="K5134"/>
      <c r="L5134"/>
      <c r="M5134"/>
      <c r="N5134"/>
      <c r="O5134"/>
      <c r="P5134"/>
      <c r="Q5134"/>
      <c r="R5134"/>
      <c r="S5134"/>
    </row>
    <row r="5135" spans="1:19" x14ac:dyDescent="0.25">
      <c r="A5135" s="1"/>
      <c r="B5135"/>
      <c r="C5135"/>
      <c r="D5135"/>
      <c r="E5135"/>
      <c r="F5135"/>
      <c r="G5135"/>
      <c r="H5135"/>
      <c r="I5135"/>
      <c r="J5135"/>
      <c r="K5135"/>
      <c r="L5135"/>
      <c r="M5135"/>
      <c r="N5135"/>
      <c r="O5135"/>
      <c r="P5135"/>
      <c r="Q5135"/>
      <c r="R5135"/>
      <c r="S5135"/>
    </row>
    <row r="5136" spans="1:19" x14ac:dyDescent="0.25">
      <c r="A5136" s="1"/>
      <c r="B5136"/>
      <c r="C5136"/>
      <c r="D5136"/>
      <c r="E5136"/>
      <c r="F5136"/>
      <c r="G5136"/>
      <c r="H5136"/>
      <c r="I5136"/>
      <c r="J5136"/>
      <c r="K5136"/>
      <c r="L5136"/>
      <c r="M5136"/>
      <c r="N5136"/>
      <c r="O5136"/>
      <c r="P5136"/>
      <c r="Q5136"/>
      <c r="R5136"/>
      <c r="S5136"/>
    </row>
    <row r="5137" spans="1:19" x14ac:dyDescent="0.25">
      <c r="A5137" s="1"/>
      <c r="B5137"/>
      <c r="C5137"/>
      <c r="D5137"/>
      <c r="E5137"/>
      <c r="F5137"/>
      <c r="G5137"/>
      <c r="H5137"/>
      <c r="I5137"/>
      <c r="J5137"/>
      <c r="K5137"/>
      <c r="L5137"/>
      <c r="M5137"/>
      <c r="N5137"/>
      <c r="O5137"/>
      <c r="P5137"/>
      <c r="Q5137"/>
      <c r="R5137"/>
      <c r="S5137"/>
    </row>
    <row r="5138" spans="1:19" x14ac:dyDescent="0.25">
      <c r="A5138" s="1"/>
      <c r="B5138"/>
      <c r="C5138"/>
      <c r="D5138"/>
      <c r="E5138"/>
      <c r="F5138"/>
      <c r="G5138"/>
      <c r="H5138"/>
      <c r="I5138"/>
      <c r="J5138"/>
      <c r="K5138"/>
      <c r="L5138"/>
      <c r="M5138"/>
      <c r="N5138"/>
      <c r="O5138"/>
      <c r="P5138"/>
      <c r="Q5138"/>
      <c r="R5138"/>
      <c r="S5138"/>
    </row>
    <row r="5139" spans="1:19" x14ac:dyDescent="0.25">
      <c r="A5139" s="1"/>
      <c r="B5139"/>
      <c r="C5139"/>
      <c r="D5139"/>
      <c r="E5139"/>
      <c r="F5139"/>
      <c r="G5139"/>
      <c r="H5139"/>
      <c r="I5139"/>
      <c r="J5139"/>
      <c r="K5139"/>
      <c r="L5139"/>
      <c r="M5139"/>
      <c r="N5139"/>
      <c r="O5139"/>
      <c r="P5139"/>
      <c r="Q5139"/>
      <c r="R5139"/>
      <c r="S5139"/>
    </row>
    <row r="5140" spans="1:19" x14ac:dyDescent="0.25">
      <c r="A5140" s="1"/>
      <c r="B5140"/>
      <c r="C5140"/>
      <c r="D5140"/>
      <c r="E5140"/>
      <c r="F5140"/>
      <c r="G5140"/>
      <c r="H5140"/>
      <c r="I5140"/>
      <c r="J5140"/>
      <c r="K5140"/>
      <c r="L5140"/>
      <c r="M5140"/>
      <c r="N5140"/>
      <c r="O5140"/>
      <c r="P5140"/>
      <c r="Q5140"/>
      <c r="R5140"/>
      <c r="S5140"/>
    </row>
    <row r="5141" spans="1:19" x14ac:dyDescent="0.25">
      <c r="A5141" s="1"/>
      <c r="B5141"/>
      <c r="C5141"/>
      <c r="D5141"/>
      <c r="E5141"/>
      <c r="F5141"/>
      <c r="G5141"/>
      <c r="H5141"/>
      <c r="I5141"/>
      <c r="J5141"/>
      <c r="K5141"/>
      <c r="L5141"/>
      <c r="M5141"/>
      <c r="N5141"/>
      <c r="O5141"/>
      <c r="P5141"/>
      <c r="Q5141"/>
      <c r="R5141"/>
      <c r="S5141"/>
    </row>
    <row r="5142" spans="1:19" x14ac:dyDescent="0.25">
      <c r="A5142" s="1"/>
      <c r="B5142"/>
      <c r="C5142"/>
      <c r="D5142"/>
      <c r="E5142"/>
      <c r="F5142"/>
      <c r="G5142"/>
      <c r="H5142"/>
      <c r="I5142"/>
      <c r="J5142"/>
      <c r="K5142"/>
      <c r="L5142"/>
      <c r="M5142"/>
      <c r="N5142"/>
      <c r="O5142"/>
      <c r="P5142"/>
      <c r="Q5142"/>
      <c r="R5142"/>
      <c r="S5142"/>
    </row>
    <row r="5143" spans="1:19" x14ac:dyDescent="0.25">
      <c r="A5143" s="1"/>
      <c r="B5143"/>
      <c r="C5143"/>
      <c r="D5143"/>
      <c r="E5143"/>
      <c r="F5143"/>
      <c r="G5143"/>
      <c r="H5143"/>
      <c r="I5143"/>
      <c r="J5143"/>
      <c r="K5143"/>
      <c r="L5143"/>
      <c r="M5143"/>
      <c r="N5143"/>
      <c r="O5143"/>
      <c r="P5143"/>
      <c r="Q5143"/>
      <c r="R5143"/>
      <c r="S5143"/>
    </row>
    <row r="5144" spans="1:19" x14ac:dyDescent="0.25">
      <c r="A5144" s="1"/>
      <c r="B5144"/>
      <c r="C5144"/>
      <c r="D5144"/>
      <c r="E5144"/>
      <c r="F5144"/>
      <c r="G5144"/>
      <c r="H5144"/>
      <c r="I5144"/>
      <c r="J5144"/>
      <c r="K5144"/>
      <c r="L5144"/>
      <c r="M5144"/>
      <c r="N5144"/>
      <c r="O5144"/>
      <c r="P5144"/>
      <c r="Q5144"/>
      <c r="R5144"/>
      <c r="S5144"/>
    </row>
    <row r="5145" spans="1:19" x14ac:dyDescent="0.25">
      <c r="A5145" s="1"/>
      <c r="B5145"/>
      <c r="C5145"/>
      <c r="D5145"/>
      <c r="E5145"/>
      <c r="F5145"/>
      <c r="G5145"/>
      <c r="H5145"/>
      <c r="I5145"/>
      <c r="J5145"/>
      <c r="K5145"/>
      <c r="L5145"/>
      <c r="M5145"/>
      <c r="N5145"/>
      <c r="O5145"/>
      <c r="P5145"/>
      <c r="Q5145"/>
      <c r="R5145"/>
      <c r="S5145"/>
    </row>
    <row r="5146" spans="1:19" x14ac:dyDescent="0.25">
      <c r="A5146" s="1"/>
      <c r="B5146"/>
      <c r="C5146"/>
      <c r="D5146"/>
      <c r="E5146"/>
      <c r="F5146"/>
      <c r="G5146"/>
      <c r="H5146"/>
      <c r="I5146"/>
      <c r="J5146"/>
      <c r="K5146"/>
      <c r="L5146"/>
      <c r="M5146"/>
      <c r="N5146"/>
      <c r="O5146"/>
      <c r="P5146"/>
      <c r="Q5146"/>
      <c r="R5146"/>
      <c r="S5146"/>
    </row>
    <row r="5147" spans="1:19" x14ac:dyDescent="0.25">
      <c r="A5147" s="1"/>
      <c r="B5147"/>
      <c r="C5147"/>
      <c r="D5147"/>
      <c r="E5147"/>
      <c r="F5147"/>
      <c r="G5147"/>
      <c r="H5147"/>
      <c r="I5147"/>
      <c r="J5147"/>
      <c r="K5147"/>
      <c r="L5147"/>
      <c r="M5147"/>
      <c r="N5147"/>
      <c r="O5147"/>
      <c r="P5147"/>
      <c r="Q5147"/>
      <c r="R5147"/>
      <c r="S5147"/>
    </row>
    <row r="5148" spans="1:19" x14ac:dyDescent="0.25">
      <c r="A5148" s="1"/>
      <c r="B5148"/>
      <c r="C5148"/>
      <c r="D5148"/>
      <c r="E5148"/>
      <c r="F5148"/>
      <c r="G5148"/>
      <c r="H5148"/>
      <c r="I5148"/>
      <c r="J5148"/>
      <c r="K5148"/>
      <c r="L5148"/>
      <c r="M5148"/>
      <c r="N5148"/>
      <c r="O5148"/>
      <c r="P5148"/>
      <c r="Q5148"/>
      <c r="R5148"/>
      <c r="S5148"/>
    </row>
    <row r="5149" spans="1:19" x14ac:dyDescent="0.25">
      <c r="A5149" s="1"/>
      <c r="B5149"/>
      <c r="C5149"/>
      <c r="D5149"/>
      <c r="E5149"/>
      <c r="F5149"/>
      <c r="G5149"/>
      <c r="H5149"/>
      <c r="I5149"/>
      <c r="J5149"/>
      <c r="K5149"/>
      <c r="L5149"/>
      <c r="M5149"/>
      <c r="N5149"/>
      <c r="O5149"/>
      <c r="P5149"/>
      <c r="Q5149"/>
      <c r="R5149"/>
      <c r="S5149"/>
    </row>
    <row r="5150" spans="1:19" x14ac:dyDescent="0.25">
      <c r="A5150" s="1"/>
      <c r="B5150"/>
      <c r="C5150"/>
      <c r="D5150"/>
      <c r="E5150"/>
      <c r="F5150"/>
      <c r="G5150"/>
      <c r="H5150"/>
      <c r="I5150"/>
      <c r="J5150"/>
      <c r="K5150"/>
      <c r="L5150"/>
      <c r="M5150"/>
      <c r="N5150"/>
      <c r="O5150"/>
      <c r="P5150"/>
      <c r="Q5150"/>
      <c r="R5150"/>
      <c r="S5150"/>
    </row>
    <row r="5151" spans="1:19" x14ac:dyDescent="0.25">
      <c r="A5151" s="1"/>
      <c r="B5151"/>
      <c r="C5151"/>
      <c r="D5151"/>
      <c r="E5151"/>
      <c r="F5151"/>
      <c r="G5151"/>
      <c r="H5151"/>
      <c r="I5151"/>
      <c r="J5151"/>
      <c r="K5151"/>
      <c r="L5151"/>
      <c r="M5151"/>
      <c r="N5151"/>
      <c r="O5151"/>
      <c r="P5151"/>
      <c r="Q5151"/>
      <c r="R5151"/>
      <c r="S5151"/>
    </row>
    <row r="5152" spans="1:19" x14ac:dyDescent="0.25">
      <c r="A5152" s="1"/>
      <c r="B5152"/>
      <c r="C5152"/>
      <c r="D5152"/>
      <c r="E5152"/>
      <c r="F5152"/>
      <c r="G5152"/>
      <c r="H5152"/>
      <c r="I5152"/>
      <c r="J5152"/>
      <c r="K5152"/>
      <c r="L5152"/>
      <c r="M5152"/>
      <c r="N5152"/>
      <c r="O5152"/>
      <c r="P5152"/>
      <c r="Q5152"/>
      <c r="R5152"/>
      <c r="S5152"/>
    </row>
    <row r="5153" spans="1:19" x14ac:dyDescent="0.25">
      <c r="A5153" s="1"/>
      <c r="B5153"/>
      <c r="C5153"/>
      <c r="D5153"/>
      <c r="E5153"/>
      <c r="F5153"/>
      <c r="G5153"/>
      <c r="H5153"/>
      <c r="I5153"/>
      <c r="J5153"/>
      <c r="K5153"/>
      <c r="L5153"/>
      <c r="M5153"/>
      <c r="N5153"/>
      <c r="O5153"/>
      <c r="P5153"/>
      <c r="Q5153"/>
      <c r="R5153"/>
      <c r="S5153"/>
    </row>
    <row r="5154" spans="1:19" x14ac:dyDescent="0.25">
      <c r="A5154" s="1"/>
      <c r="B5154"/>
      <c r="C5154"/>
      <c r="D5154"/>
      <c r="E5154"/>
      <c r="F5154"/>
      <c r="G5154"/>
      <c r="H5154"/>
      <c r="I5154"/>
      <c r="J5154"/>
      <c r="K5154"/>
      <c r="L5154"/>
      <c r="M5154"/>
      <c r="N5154"/>
      <c r="O5154"/>
      <c r="P5154"/>
      <c r="Q5154"/>
      <c r="R5154"/>
      <c r="S5154"/>
    </row>
    <row r="5155" spans="1:19" x14ac:dyDescent="0.25">
      <c r="A5155" s="1"/>
      <c r="B5155"/>
      <c r="C5155"/>
      <c r="D5155"/>
      <c r="E5155"/>
      <c r="F5155"/>
      <c r="G5155"/>
      <c r="H5155"/>
      <c r="I5155"/>
      <c r="J5155"/>
      <c r="K5155"/>
      <c r="L5155"/>
      <c r="M5155"/>
      <c r="N5155"/>
      <c r="O5155"/>
      <c r="P5155"/>
      <c r="Q5155"/>
      <c r="R5155"/>
      <c r="S5155"/>
    </row>
    <row r="5156" spans="1:19" x14ac:dyDescent="0.25">
      <c r="A5156" s="1"/>
      <c r="B5156"/>
      <c r="C5156"/>
      <c r="D5156"/>
      <c r="E5156"/>
      <c r="F5156"/>
      <c r="G5156"/>
      <c r="H5156"/>
      <c r="I5156"/>
      <c r="J5156"/>
      <c r="K5156"/>
      <c r="L5156"/>
      <c r="M5156"/>
      <c r="N5156"/>
      <c r="O5156"/>
      <c r="P5156"/>
      <c r="Q5156"/>
      <c r="R5156"/>
      <c r="S5156"/>
    </row>
    <row r="5157" spans="1:19" x14ac:dyDescent="0.25">
      <c r="A5157" s="1"/>
      <c r="B5157"/>
      <c r="C5157"/>
      <c r="D5157"/>
      <c r="E5157"/>
      <c r="F5157"/>
      <c r="G5157"/>
      <c r="H5157"/>
      <c r="I5157"/>
      <c r="J5157"/>
      <c r="K5157"/>
      <c r="L5157"/>
      <c r="M5157"/>
      <c r="N5157"/>
      <c r="O5157"/>
      <c r="P5157"/>
      <c r="Q5157"/>
      <c r="R5157"/>
      <c r="S5157"/>
    </row>
    <row r="5158" spans="1:19" x14ac:dyDescent="0.25">
      <c r="A5158" s="1"/>
      <c r="B5158"/>
      <c r="C5158"/>
      <c r="D5158"/>
      <c r="E5158"/>
      <c r="F5158"/>
      <c r="G5158"/>
      <c r="H5158"/>
      <c r="I5158"/>
      <c r="J5158"/>
      <c r="K5158"/>
      <c r="L5158"/>
      <c r="M5158"/>
      <c r="N5158"/>
      <c r="O5158"/>
      <c r="P5158"/>
      <c r="Q5158"/>
      <c r="R5158"/>
      <c r="S5158"/>
    </row>
    <row r="5159" spans="1:19" x14ac:dyDescent="0.25">
      <c r="A5159" s="1"/>
      <c r="B5159"/>
      <c r="C5159"/>
      <c r="D5159"/>
      <c r="E5159"/>
      <c r="F5159"/>
      <c r="G5159"/>
      <c r="H5159"/>
      <c r="I5159"/>
      <c r="J5159"/>
      <c r="K5159"/>
      <c r="L5159"/>
      <c r="M5159"/>
      <c r="N5159"/>
      <c r="O5159"/>
      <c r="P5159"/>
      <c r="Q5159"/>
      <c r="R5159"/>
      <c r="S5159"/>
    </row>
    <row r="5160" spans="1:19" x14ac:dyDescent="0.25">
      <c r="A5160" s="1"/>
      <c r="B5160"/>
      <c r="C5160"/>
      <c r="D5160"/>
      <c r="E5160"/>
      <c r="F5160"/>
      <c r="G5160"/>
      <c r="H5160"/>
      <c r="I5160"/>
      <c r="J5160"/>
      <c r="K5160"/>
      <c r="L5160"/>
      <c r="M5160"/>
      <c r="N5160"/>
      <c r="O5160"/>
      <c r="P5160"/>
      <c r="Q5160"/>
      <c r="R5160"/>
      <c r="S5160"/>
    </row>
    <row r="5161" spans="1:19" x14ac:dyDescent="0.25">
      <c r="A5161" s="1"/>
      <c r="B5161"/>
      <c r="C5161"/>
      <c r="D5161"/>
      <c r="E5161"/>
      <c r="F5161"/>
      <c r="G5161"/>
      <c r="H5161"/>
      <c r="I5161"/>
      <c r="J5161"/>
      <c r="K5161"/>
      <c r="L5161"/>
      <c r="M5161"/>
      <c r="N5161"/>
      <c r="O5161"/>
      <c r="P5161"/>
      <c r="Q5161"/>
      <c r="R5161"/>
      <c r="S5161"/>
    </row>
    <row r="5162" spans="1:19" x14ac:dyDescent="0.25">
      <c r="A5162" s="1"/>
      <c r="B5162"/>
      <c r="C5162"/>
      <c r="D5162"/>
      <c r="E5162"/>
      <c r="F5162"/>
      <c r="G5162"/>
      <c r="H5162"/>
      <c r="I5162"/>
      <c r="J5162"/>
      <c r="K5162"/>
      <c r="L5162"/>
      <c r="M5162"/>
      <c r="N5162"/>
      <c r="O5162"/>
      <c r="P5162"/>
      <c r="Q5162"/>
      <c r="R5162"/>
      <c r="S5162"/>
    </row>
    <row r="5163" spans="1:19" x14ac:dyDescent="0.25">
      <c r="A5163" s="1"/>
      <c r="B5163"/>
      <c r="C5163"/>
      <c r="D5163"/>
      <c r="E5163"/>
      <c r="F5163"/>
      <c r="G5163"/>
      <c r="H5163"/>
      <c r="I5163"/>
      <c r="J5163"/>
      <c r="K5163"/>
      <c r="L5163"/>
      <c r="M5163"/>
      <c r="N5163"/>
      <c r="O5163"/>
      <c r="P5163"/>
      <c r="Q5163"/>
      <c r="R5163"/>
      <c r="S5163"/>
    </row>
    <row r="5164" spans="1:19" x14ac:dyDescent="0.25">
      <c r="A5164" s="1"/>
      <c r="B5164"/>
      <c r="C5164"/>
      <c r="D5164"/>
      <c r="E5164"/>
      <c r="F5164"/>
      <c r="G5164"/>
      <c r="H5164"/>
      <c r="I5164"/>
      <c r="J5164"/>
      <c r="K5164"/>
      <c r="L5164"/>
      <c r="M5164"/>
      <c r="N5164"/>
      <c r="O5164"/>
      <c r="P5164"/>
      <c r="Q5164"/>
      <c r="R5164"/>
      <c r="S5164"/>
    </row>
    <row r="5165" spans="1:19" x14ac:dyDescent="0.25">
      <c r="A5165" s="1"/>
      <c r="B5165"/>
      <c r="C5165"/>
      <c r="D5165"/>
      <c r="E5165"/>
      <c r="F5165"/>
      <c r="G5165"/>
      <c r="H5165"/>
      <c r="I5165"/>
      <c r="J5165"/>
      <c r="K5165"/>
      <c r="L5165"/>
      <c r="M5165"/>
      <c r="N5165"/>
      <c r="O5165"/>
      <c r="P5165"/>
      <c r="Q5165"/>
      <c r="R5165"/>
      <c r="S5165"/>
    </row>
    <row r="5166" spans="1:19" x14ac:dyDescent="0.25">
      <c r="A5166" s="1"/>
      <c r="B5166"/>
      <c r="C5166"/>
      <c r="D5166"/>
      <c r="E5166"/>
      <c r="F5166"/>
      <c r="G5166"/>
      <c r="H5166"/>
      <c r="I5166"/>
      <c r="J5166"/>
      <c r="K5166"/>
      <c r="L5166"/>
      <c r="M5166"/>
      <c r="N5166"/>
      <c r="O5166"/>
      <c r="P5166"/>
      <c r="Q5166"/>
      <c r="R5166"/>
      <c r="S5166"/>
    </row>
    <row r="5167" spans="1:19" x14ac:dyDescent="0.25">
      <c r="A5167" s="1"/>
      <c r="B5167"/>
      <c r="C5167"/>
      <c r="D5167"/>
      <c r="E5167"/>
      <c r="F5167"/>
      <c r="G5167"/>
      <c r="H5167"/>
      <c r="I5167"/>
      <c r="J5167"/>
      <c r="K5167"/>
      <c r="L5167"/>
      <c r="M5167"/>
      <c r="N5167"/>
      <c r="O5167"/>
      <c r="P5167"/>
      <c r="Q5167"/>
      <c r="R5167"/>
      <c r="S5167"/>
    </row>
    <row r="5168" spans="1:19" x14ac:dyDescent="0.25">
      <c r="A5168" s="1"/>
      <c r="B5168"/>
      <c r="C5168"/>
      <c r="D5168"/>
      <c r="E5168"/>
      <c r="F5168"/>
      <c r="G5168"/>
      <c r="H5168"/>
      <c r="I5168"/>
      <c r="J5168"/>
      <c r="K5168"/>
      <c r="L5168"/>
      <c r="M5168"/>
      <c r="N5168"/>
      <c r="O5168"/>
      <c r="P5168"/>
      <c r="Q5168"/>
      <c r="R5168"/>
      <c r="S5168"/>
    </row>
    <row r="5169" spans="1:19" x14ac:dyDescent="0.25">
      <c r="A5169" s="1"/>
      <c r="B5169"/>
      <c r="C5169"/>
      <c r="D5169"/>
      <c r="E5169"/>
      <c r="F5169"/>
      <c r="G5169"/>
      <c r="H5169"/>
      <c r="I5169"/>
      <c r="J5169"/>
      <c r="K5169"/>
      <c r="L5169"/>
      <c r="M5169"/>
      <c r="N5169"/>
      <c r="O5169"/>
      <c r="P5169"/>
      <c r="Q5169"/>
      <c r="R5169"/>
      <c r="S5169"/>
    </row>
    <row r="5170" spans="1:19" x14ac:dyDescent="0.25">
      <c r="A5170" s="1"/>
      <c r="B5170"/>
      <c r="C5170"/>
      <c r="D5170"/>
      <c r="E5170"/>
      <c r="F5170"/>
      <c r="G5170"/>
      <c r="H5170"/>
      <c r="I5170"/>
      <c r="J5170"/>
      <c r="K5170"/>
      <c r="L5170"/>
      <c r="M5170"/>
      <c r="N5170"/>
      <c r="O5170"/>
      <c r="P5170"/>
      <c r="Q5170"/>
      <c r="R5170"/>
      <c r="S5170"/>
    </row>
    <row r="5171" spans="1:19" x14ac:dyDescent="0.25">
      <c r="A5171" s="1"/>
      <c r="B5171"/>
      <c r="C5171"/>
      <c r="D5171"/>
      <c r="E5171"/>
      <c r="F5171"/>
      <c r="G5171"/>
      <c r="H5171"/>
      <c r="I5171"/>
      <c r="J5171"/>
      <c r="K5171"/>
      <c r="L5171"/>
      <c r="M5171"/>
      <c r="N5171"/>
      <c r="O5171"/>
      <c r="P5171"/>
      <c r="Q5171"/>
      <c r="R5171"/>
      <c r="S5171"/>
    </row>
    <row r="5172" spans="1:19" x14ac:dyDescent="0.25">
      <c r="A5172" s="1"/>
      <c r="B5172"/>
      <c r="C5172"/>
      <c r="D5172"/>
      <c r="E5172"/>
      <c r="F5172"/>
      <c r="G5172"/>
      <c r="H5172"/>
      <c r="I5172"/>
      <c r="J5172"/>
      <c r="K5172"/>
      <c r="L5172"/>
      <c r="M5172"/>
      <c r="N5172"/>
      <c r="O5172"/>
      <c r="P5172"/>
      <c r="Q5172"/>
      <c r="R5172"/>
      <c r="S5172"/>
    </row>
    <row r="5173" spans="1:19" x14ac:dyDescent="0.25">
      <c r="A5173" s="1"/>
      <c r="B5173"/>
      <c r="C5173"/>
      <c r="D5173"/>
      <c r="E5173"/>
      <c r="F5173"/>
      <c r="G5173"/>
      <c r="H5173"/>
      <c r="I5173"/>
      <c r="J5173"/>
      <c r="K5173"/>
      <c r="L5173"/>
      <c r="M5173"/>
      <c r="N5173"/>
      <c r="O5173"/>
      <c r="P5173"/>
      <c r="Q5173"/>
      <c r="R5173"/>
      <c r="S5173"/>
    </row>
    <row r="5174" spans="1:19" x14ac:dyDescent="0.25">
      <c r="A5174" s="1"/>
      <c r="B5174"/>
      <c r="C5174"/>
      <c r="D5174"/>
      <c r="E5174"/>
      <c r="F5174"/>
      <c r="G5174"/>
      <c r="H5174"/>
      <c r="I5174"/>
      <c r="J5174"/>
      <c r="K5174"/>
      <c r="L5174"/>
      <c r="M5174"/>
      <c r="N5174"/>
      <c r="O5174"/>
      <c r="P5174"/>
      <c r="Q5174"/>
      <c r="R5174"/>
      <c r="S5174"/>
    </row>
    <row r="5175" spans="1:19" x14ac:dyDescent="0.25">
      <c r="A5175" s="1"/>
      <c r="B5175"/>
      <c r="C5175"/>
      <c r="D5175"/>
      <c r="E5175"/>
      <c r="F5175"/>
      <c r="G5175"/>
      <c r="H5175"/>
      <c r="I5175"/>
      <c r="J5175"/>
      <c r="K5175"/>
      <c r="L5175"/>
      <c r="M5175"/>
      <c r="N5175"/>
      <c r="O5175"/>
      <c r="P5175"/>
      <c r="Q5175"/>
      <c r="R5175"/>
      <c r="S5175"/>
    </row>
    <row r="5176" spans="1:19" x14ac:dyDescent="0.25">
      <c r="A5176" s="1"/>
      <c r="B5176"/>
      <c r="C5176"/>
      <c r="D5176"/>
      <c r="E5176"/>
      <c r="F5176"/>
      <c r="G5176"/>
      <c r="H5176"/>
      <c r="I5176"/>
      <c r="J5176"/>
      <c r="K5176"/>
      <c r="L5176"/>
      <c r="M5176"/>
      <c r="N5176"/>
      <c r="O5176"/>
      <c r="P5176"/>
      <c r="Q5176"/>
      <c r="R5176"/>
      <c r="S5176"/>
    </row>
    <row r="5177" spans="1:19" x14ac:dyDescent="0.25">
      <c r="A5177" s="1"/>
      <c r="B5177"/>
      <c r="C5177"/>
      <c r="D5177"/>
      <c r="E5177"/>
      <c r="F5177"/>
      <c r="G5177"/>
      <c r="H5177"/>
      <c r="I5177"/>
      <c r="J5177"/>
      <c r="K5177"/>
      <c r="L5177"/>
      <c r="M5177"/>
      <c r="N5177"/>
      <c r="O5177"/>
      <c r="P5177"/>
      <c r="Q5177"/>
      <c r="R5177"/>
      <c r="S5177"/>
    </row>
    <row r="5178" spans="1:19" x14ac:dyDescent="0.25">
      <c r="A5178" s="1"/>
      <c r="B5178"/>
      <c r="C5178"/>
      <c r="D5178"/>
      <c r="E5178"/>
      <c r="F5178"/>
      <c r="G5178"/>
      <c r="H5178"/>
      <c r="I5178"/>
      <c r="J5178"/>
      <c r="K5178"/>
      <c r="L5178"/>
      <c r="M5178"/>
      <c r="N5178"/>
      <c r="O5178"/>
      <c r="P5178"/>
      <c r="Q5178"/>
      <c r="R5178"/>
      <c r="S5178"/>
    </row>
    <row r="5179" spans="1:19" x14ac:dyDescent="0.25">
      <c r="A5179" s="1"/>
      <c r="B5179"/>
      <c r="C5179"/>
      <c r="D5179"/>
      <c r="E5179"/>
      <c r="F5179"/>
      <c r="G5179"/>
      <c r="H5179"/>
      <c r="I5179"/>
      <c r="J5179"/>
      <c r="K5179"/>
      <c r="L5179"/>
      <c r="M5179"/>
      <c r="N5179"/>
      <c r="O5179"/>
      <c r="P5179"/>
      <c r="Q5179"/>
      <c r="R5179"/>
      <c r="S5179"/>
    </row>
    <row r="5180" spans="1:19" x14ac:dyDescent="0.25">
      <c r="A5180" s="1"/>
      <c r="B5180"/>
      <c r="C5180"/>
      <c r="D5180"/>
      <c r="E5180"/>
      <c r="F5180"/>
      <c r="G5180"/>
      <c r="H5180"/>
      <c r="I5180"/>
      <c r="J5180"/>
      <c r="K5180"/>
      <c r="L5180"/>
      <c r="M5180"/>
      <c r="N5180"/>
      <c r="O5180"/>
      <c r="P5180"/>
      <c r="Q5180"/>
      <c r="R5180"/>
      <c r="S5180"/>
    </row>
    <row r="5181" spans="1:19" x14ac:dyDescent="0.25">
      <c r="A5181" s="1"/>
      <c r="B5181"/>
      <c r="C5181"/>
      <c r="D5181"/>
      <c r="E5181"/>
      <c r="F5181"/>
      <c r="G5181"/>
      <c r="H5181"/>
      <c r="I5181"/>
      <c r="J5181"/>
      <c r="K5181"/>
      <c r="L5181"/>
      <c r="M5181"/>
      <c r="N5181"/>
      <c r="O5181"/>
      <c r="P5181"/>
      <c r="Q5181"/>
      <c r="R5181"/>
      <c r="S5181"/>
    </row>
    <row r="5182" spans="1:19" x14ac:dyDescent="0.25">
      <c r="A5182" s="1"/>
      <c r="B5182"/>
      <c r="C5182"/>
      <c r="D5182"/>
      <c r="E5182"/>
      <c r="F5182"/>
      <c r="G5182"/>
      <c r="H5182"/>
      <c r="I5182"/>
      <c r="J5182"/>
      <c r="K5182"/>
      <c r="L5182"/>
      <c r="M5182"/>
      <c r="N5182"/>
      <c r="O5182"/>
      <c r="P5182"/>
      <c r="Q5182"/>
      <c r="R5182"/>
      <c r="S5182"/>
    </row>
    <row r="5183" spans="1:19" x14ac:dyDescent="0.25">
      <c r="A5183" s="1"/>
      <c r="B5183"/>
      <c r="C5183"/>
      <c r="D5183"/>
      <c r="E5183"/>
      <c r="F5183"/>
      <c r="G5183"/>
      <c r="H5183"/>
      <c r="I5183"/>
      <c r="J5183"/>
      <c r="K5183"/>
      <c r="L5183"/>
      <c r="M5183"/>
      <c r="N5183"/>
      <c r="O5183"/>
      <c r="P5183"/>
      <c r="Q5183"/>
      <c r="R5183"/>
      <c r="S5183"/>
    </row>
    <row r="5184" spans="1:19" x14ac:dyDescent="0.25">
      <c r="A5184" s="1"/>
      <c r="B5184"/>
      <c r="C5184"/>
      <c r="D5184"/>
      <c r="E5184"/>
      <c r="F5184"/>
      <c r="G5184"/>
      <c r="H5184"/>
      <c r="I5184"/>
      <c r="J5184"/>
      <c r="K5184"/>
      <c r="L5184"/>
      <c r="M5184"/>
      <c r="N5184"/>
      <c r="O5184"/>
      <c r="P5184"/>
      <c r="Q5184"/>
      <c r="R5184"/>
      <c r="S5184"/>
    </row>
    <row r="5185" spans="1:19" x14ac:dyDescent="0.25">
      <c r="A5185" s="1"/>
      <c r="B5185"/>
      <c r="C5185"/>
      <c r="D5185"/>
      <c r="E5185"/>
      <c r="F5185"/>
      <c r="G5185"/>
      <c r="H5185"/>
      <c r="I5185"/>
      <c r="J5185"/>
      <c r="K5185"/>
      <c r="L5185"/>
      <c r="M5185"/>
      <c r="N5185"/>
      <c r="O5185"/>
      <c r="P5185"/>
      <c r="Q5185"/>
      <c r="R5185"/>
      <c r="S5185"/>
    </row>
    <row r="5186" spans="1:19" x14ac:dyDescent="0.25">
      <c r="A5186" s="1"/>
      <c r="B5186"/>
      <c r="C5186"/>
      <c r="D5186"/>
      <c r="E5186"/>
      <c r="F5186"/>
      <c r="G5186"/>
      <c r="H5186"/>
      <c r="I5186"/>
      <c r="J5186"/>
      <c r="K5186"/>
      <c r="L5186"/>
      <c r="M5186"/>
      <c r="N5186"/>
      <c r="O5186"/>
      <c r="P5186"/>
      <c r="Q5186"/>
      <c r="R5186"/>
      <c r="S5186"/>
    </row>
    <row r="5187" spans="1:19" x14ac:dyDescent="0.25">
      <c r="A5187" s="1"/>
      <c r="B5187"/>
      <c r="C5187"/>
      <c r="D5187"/>
      <c r="E5187"/>
      <c r="F5187"/>
      <c r="G5187"/>
      <c r="H5187"/>
      <c r="I5187"/>
      <c r="J5187"/>
      <c r="K5187"/>
      <c r="L5187"/>
      <c r="M5187"/>
      <c r="N5187"/>
      <c r="O5187"/>
      <c r="P5187"/>
      <c r="Q5187"/>
      <c r="R5187"/>
      <c r="S5187"/>
    </row>
    <row r="5188" spans="1:19" x14ac:dyDescent="0.25">
      <c r="A5188" s="1"/>
      <c r="B5188"/>
      <c r="C5188"/>
      <c r="D5188"/>
      <c r="E5188"/>
      <c r="F5188"/>
      <c r="G5188"/>
      <c r="H5188"/>
      <c r="I5188"/>
      <c r="J5188"/>
      <c r="K5188"/>
      <c r="L5188"/>
      <c r="M5188"/>
      <c r="N5188"/>
      <c r="O5188"/>
      <c r="P5188"/>
      <c r="Q5188"/>
      <c r="R5188"/>
      <c r="S5188"/>
    </row>
    <row r="5189" spans="1:19" x14ac:dyDescent="0.25">
      <c r="A5189" s="1"/>
      <c r="B5189"/>
      <c r="C5189"/>
      <c r="D5189"/>
      <c r="E5189"/>
      <c r="F5189"/>
      <c r="G5189"/>
      <c r="H5189"/>
      <c r="I5189"/>
      <c r="J5189"/>
      <c r="K5189"/>
      <c r="L5189"/>
      <c r="M5189"/>
      <c r="N5189"/>
      <c r="O5189"/>
      <c r="P5189"/>
      <c r="Q5189"/>
      <c r="R5189"/>
      <c r="S5189"/>
    </row>
    <row r="5190" spans="1:19" x14ac:dyDescent="0.25">
      <c r="A5190" s="1"/>
      <c r="B5190"/>
      <c r="C5190"/>
      <c r="D5190"/>
      <c r="E5190"/>
      <c r="F5190"/>
      <c r="G5190"/>
      <c r="H5190"/>
      <c r="I5190"/>
      <c r="J5190"/>
      <c r="K5190"/>
      <c r="L5190"/>
      <c r="M5190"/>
      <c r="N5190"/>
      <c r="O5190"/>
      <c r="P5190"/>
      <c r="Q5190"/>
      <c r="R5190"/>
      <c r="S5190"/>
    </row>
    <row r="5191" spans="1:19" x14ac:dyDescent="0.25">
      <c r="A5191" s="1"/>
      <c r="B5191"/>
      <c r="C5191"/>
      <c r="D5191"/>
      <c r="E5191"/>
      <c r="F5191"/>
      <c r="G5191"/>
      <c r="H5191"/>
      <c r="I5191"/>
      <c r="J5191"/>
      <c r="K5191"/>
      <c r="L5191"/>
      <c r="M5191"/>
      <c r="N5191"/>
      <c r="O5191"/>
      <c r="P5191"/>
      <c r="Q5191"/>
      <c r="R5191"/>
      <c r="S5191"/>
    </row>
    <row r="5192" spans="1:19" x14ac:dyDescent="0.25">
      <c r="A5192" s="1"/>
      <c r="B5192"/>
      <c r="C5192"/>
      <c r="D5192"/>
      <c r="E5192"/>
      <c r="F5192"/>
      <c r="G5192"/>
      <c r="H5192"/>
      <c r="I5192"/>
      <c r="J5192"/>
      <c r="K5192"/>
      <c r="L5192"/>
      <c r="M5192"/>
      <c r="N5192"/>
      <c r="O5192"/>
      <c r="P5192"/>
      <c r="Q5192"/>
      <c r="R5192"/>
      <c r="S5192"/>
    </row>
    <row r="5193" spans="1:19" x14ac:dyDescent="0.25">
      <c r="A5193" s="1"/>
      <c r="B5193"/>
      <c r="C5193"/>
      <c r="D5193"/>
      <c r="E5193"/>
      <c r="F5193"/>
      <c r="G5193"/>
      <c r="H5193"/>
      <c r="I5193"/>
      <c r="J5193"/>
      <c r="K5193"/>
      <c r="L5193"/>
      <c r="M5193"/>
      <c r="N5193"/>
      <c r="O5193"/>
      <c r="P5193"/>
      <c r="Q5193"/>
      <c r="R5193"/>
      <c r="S5193"/>
    </row>
    <row r="5194" spans="1:19" x14ac:dyDescent="0.25">
      <c r="A5194" s="1"/>
      <c r="B5194"/>
      <c r="C5194"/>
      <c r="D5194"/>
      <c r="E5194"/>
      <c r="F5194"/>
      <c r="G5194"/>
      <c r="H5194"/>
      <c r="I5194"/>
      <c r="J5194"/>
      <c r="K5194"/>
      <c r="L5194"/>
      <c r="M5194"/>
      <c r="N5194"/>
      <c r="O5194"/>
      <c r="P5194"/>
      <c r="Q5194"/>
      <c r="R5194"/>
      <c r="S5194"/>
    </row>
    <row r="5195" spans="1:19" x14ac:dyDescent="0.25">
      <c r="A5195" s="1"/>
      <c r="B5195"/>
      <c r="C5195"/>
      <c r="D5195"/>
      <c r="E5195"/>
      <c r="F5195"/>
      <c r="G5195"/>
      <c r="H5195"/>
      <c r="I5195"/>
      <c r="J5195"/>
      <c r="K5195"/>
      <c r="L5195"/>
      <c r="M5195"/>
      <c r="N5195"/>
      <c r="O5195"/>
      <c r="P5195"/>
      <c r="Q5195"/>
      <c r="R5195"/>
      <c r="S5195"/>
    </row>
    <row r="5196" spans="1:19" x14ac:dyDescent="0.25">
      <c r="A5196" s="1"/>
      <c r="B5196"/>
      <c r="C5196"/>
      <c r="D5196"/>
      <c r="E5196"/>
      <c r="F5196"/>
      <c r="G5196"/>
      <c r="H5196"/>
      <c r="I5196"/>
      <c r="J5196"/>
      <c r="K5196"/>
      <c r="L5196"/>
      <c r="M5196"/>
      <c r="N5196"/>
      <c r="O5196"/>
      <c r="P5196"/>
      <c r="Q5196"/>
      <c r="R5196"/>
      <c r="S5196"/>
    </row>
    <row r="5197" spans="1:19" x14ac:dyDescent="0.25">
      <c r="A5197" s="1"/>
      <c r="B5197"/>
      <c r="C5197"/>
      <c r="D5197"/>
      <c r="E5197"/>
      <c r="F5197"/>
      <c r="G5197"/>
      <c r="H5197"/>
      <c r="I5197"/>
      <c r="J5197"/>
      <c r="K5197"/>
      <c r="L5197"/>
      <c r="M5197"/>
      <c r="N5197"/>
      <c r="O5197"/>
      <c r="P5197"/>
      <c r="Q5197"/>
      <c r="R5197"/>
      <c r="S5197"/>
    </row>
    <row r="5198" spans="1:19" x14ac:dyDescent="0.25">
      <c r="A5198" s="1"/>
      <c r="B5198"/>
      <c r="C5198"/>
      <c r="D5198"/>
      <c r="E5198"/>
      <c r="F5198"/>
      <c r="G5198"/>
      <c r="H5198"/>
      <c r="I5198"/>
      <c r="J5198"/>
      <c r="K5198"/>
      <c r="L5198"/>
      <c r="M5198"/>
      <c r="N5198"/>
      <c r="O5198"/>
      <c r="P5198"/>
      <c r="Q5198"/>
      <c r="R5198"/>
      <c r="S5198"/>
    </row>
    <row r="5199" spans="1:19" x14ac:dyDescent="0.25">
      <c r="A5199" s="1"/>
      <c r="B5199"/>
      <c r="C5199"/>
      <c r="D5199"/>
      <c r="E5199"/>
      <c r="F5199"/>
      <c r="G5199"/>
      <c r="H5199"/>
      <c r="I5199"/>
      <c r="J5199"/>
      <c r="K5199"/>
      <c r="L5199"/>
      <c r="M5199"/>
      <c r="N5199"/>
      <c r="O5199"/>
      <c r="P5199"/>
      <c r="Q5199"/>
      <c r="R5199"/>
      <c r="S5199"/>
    </row>
    <row r="5200" spans="1:19" x14ac:dyDescent="0.25">
      <c r="A5200" s="1"/>
      <c r="B5200"/>
      <c r="C5200"/>
      <c r="D5200"/>
      <c r="E5200"/>
      <c r="F5200"/>
      <c r="G5200"/>
      <c r="H5200"/>
      <c r="I5200"/>
      <c r="J5200"/>
      <c r="K5200"/>
      <c r="L5200"/>
      <c r="M5200"/>
      <c r="N5200"/>
      <c r="O5200"/>
      <c r="P5200"/>
      <c r="Q5200"/>
      <c r="R5200"/>
      <c r="S5200"/>
    </row>
    <row r="5201" spans="1:19" x14ac:dyDescent="0.25">
      <c r="A5201" s="1"/>
      <c r="B5201"/>
      <c r="C5201"/>
      <c r="D5201"/>
      <c r="E5201"/>
      <c r="F5201"/>
      <c r="G5201"/>
      <c r="H5201"/>
      <c r="I5201"/>
      <c r="J5201"/>
      <c r="K5201"/>
      <c r="L5201"/>
      <c r="M5201"/>
      <c r="N5201"/>
      <c r="O5201"/>
      <c r="P5201"/>
      <c r="Q5201"/>
      <c r="R5201"/>
      <c r="S5201"/>
    </row>
    <row r="5202" spans="1:19" x14ac:dyDescent="0.25">
      <c r="A5202" s="1"/>
      <c r="B5202"/>
      <c r="C5202"/>
      <c r="D5202"/>
      <c r="E5202"/>
      <c r="F5202"/>
      <c r="G5202"/>
      <c r="H5202"/>
      <c r="I5202"/>
      <c r="J5202"/>
      <c r="K5202"/>
      <c r="L5202"/>
      <c r="M5202"/>
      <c r="N5202"/>
      <c r="O5202"/>
      <c r="P5202"/>
      <c r="Q5202"/>
      <c r="R5202"/>
      <c r="S5202"/>
    </row>
    <row r="5203" spans="1:19" x14ac:dyDescent="0.25">
      <c r="A5203" s="1"/>
      <c r="B5203"/>
      <c r="C5203"/>
      <c r="D5203"/>
      <c r="E5203"/>
      <c r="F5203"/>
      <c r="G5203"/>
      <c r="H5203"/>
      <c r="I5203"/>
      <c r="J5203"/>
      <c r="K5203"/>
      <c r="L5203"/>
      <c r="M5203"/>
      <c r="N5203"/>
      <c r="O5203"/>
      <c r="P5203"/>
      <c r="Q5203"/>
      <c r="R5203"/>
      <c r="S5203"/>
    </row>
    <row r="5204" spans="1:19" x14ac:dyDescent="0.25">
      <c r="A5204" s="1"/>
      <c r="B5204"/>
      <c r="C5204"/>
      <c r="D5204"/>
      <c r="E5204"/>
      <c r="F5204"/>
      <c r="G5204"/>
      <c r="H5204"/>
      <c r="I5204"/>
      <c r="J5204"/>
      <c r="K5204"/>
      <c r="L5204"/>
      <c r="M5204"/>
      <c r="N5204"/>
      <c r="O5204"/>
      <c r="P5204"/>
      <c r="Q5204"/>
      <c r="R5204"/>
      <c r="S5204"/>
    </row>
    <row r="5205" spans="1:19" x14ac:dyDescent="0.25">
      <c r="A5205" s="1"/>
      <c r="B5205"/>
      <c r="C5205"/>
      <c r="D5205"/>
      <c r="E5205"/>
      <c r="F5205"/>
      <c r="G5205"/>
      <c r="H5205"/>
      <c r="I5205"/>
      <c r="J5205"/>
      <c r="K5205"/>
      <c r="L5205"/>
      <c r="M5205"/>
      <c r="N5205"/>
      <c r="O5205"/>
      <c r="P5205"/>
      <c r="Q5205"/>
      <c r="R5205"/>
      <c r="S5205"/>
    </row>
    <row r="5206" spans="1:19" x14ac:dyDescent="0.25">
      <c r="A5206" s="1"/>
      <c r="B5206"/>
      <c r="C5206"/>
      <c r="D5206"/>
      <c r="E5206"/>
      <c r="F5206"/>
      <c r="G5206"/>
      <c r="H5206"/>
      <c r="I5206"/>
      <c r="J5206"/>
      <c r="K5206"/>
      <c r="L5206"/>
      <c r="M5206"/>
      <c r="N5206"/>
      <c r="O5206"/>
      <c r="P5206"/>
      <c r="Q5206"/>
      <c r="R5206"/>
      <c r="S5206"/>
    </row>
    <row r="5207" spans="1:19" x14ac:dyDescent="0.25">
      <c r="A5207" s="1"/>
      <c r="B5207"/>
      <c r="C5207"/>
      <c r="D5207"/>
      <c r="E5207"/>
      <c r="F5207"/>
      <c r="G5207"/>
      <c r="H5207"/>
      <c r="I5207"/>
      <c r="J5207"/>
      <c r="K5207"/>
      <c r="L5207"/>
      <c r="M5207"/>
      <c r="N5207"/>
      <c r="O5207"/>
      <c r="P5207"/>
      <c r="Q5207"/>
      <c r="R5207"/>
      <c r="S5207"/>
    </row>
    <row r="5208" spans="1:19" x14ac:dyDescent="0.25">
      <c r="A5208" s="1"/>
      <c r="B5208"/>
      <c r="C5208"/>
      <c r="D5208"/>
      <c r="E5208"/>
      <c r="F5208"/>
      <c r="G5208"/>
      <c r="H5208"/>
      <c r="I5208"/>
      <c r="J5208"/>
      <c r="K5208"/>
      <c r="L5208"/>
      <c r="M5208"/>
      <c r="N5208"/>
      <c r="O5208"/>
      <c r="P5208"/>
      <c r="Q5208"/>
      <c r="R5208"/>
      <c r="S5208"/>
    </row>
    <row r="5209" spans="1:19" x14ac:dyDescent="0.25">
      <c r="A5209" s="1"/>
      <c r="B5209"/>
      <c r="C5209"/>
      <c r="D5209"/>
      <c r="E5209"/>
      <c r="F5209"/>
      <c r="G5209"/>
      <c r="H5209"/>
      <c r="I5209"/>
      <c r="J5209"/>
      <c r="K5209"/>
      <c r="L5209"/>
      <c r="M5209"/>
      <c r="N5209"/>
      <c r="O5209"/>
      <c r="P5209"/>
      <c r="Q5209"/>
      <c r="R5209"/>
      <c r="S5209"/>
    </row>
    <row r="5210" spans="1:19" x14ac:dyDescent="0.25">
      <c r="A5210" s="1"/>
      <c r="B5210"/>
      <c r="C5210"/>
      <c r="D5210"/>
      <c r="E5210"/>
      <c r="F5210"/>
      <c r="G5210"/>
      <c r="H5210"/>
      <c r="I5210"/>
      <c r="J5210"/>
      <c r="K5210"/>
      <c r="L5210"/>
      <c r="M5210"/>
      <c r="N5210"/>
      <c r="O5210"/>
      <c r="P5210"/>
      <c r="Q5210"/>
      <c r="R5210"/>
      <c r="S5210"/>
    </row>
    <row r="5211" spans="1:19" x14ac:dyDescent="0.25">
      <c r="A5211" s="1"/>
      <c r="B5211"/>
      <c r="C5211"/>
      <c r="D5211"/>
      <c r="E5211"/>
      <c r="F5211"/>
      <c r="G5211"/>
      <c r="H5211"/>
      <c r="I5211"/>
      <c r="J5211"/>
      <c r="K5211"/>
      <c r="L5211"/>
      <c r="M5211"/>
      <c r="N5211"/>
      <c r="O5211"/>
      <c r="P5211"/>
      <c r="Q5211"/>
      <c r="R5211"/>
      <c r="S5211"/>
    </row>
    <row r="5212" spans="1:19" x14ac:dyDescent="0.25">
      <c r="A5212" s="1"/>
      <c r="B5212"/>
      <c r="C5212"/>
      <c r="D5212"/>
      <c r="E5212"/>
      <c r="F5212"/>
      <c r="G5212"/>
      <c r="H5212"/>
      <c r="I5212"/>
      <c r="J5212"/>
      <c r="K5212"/>
      <c r="L5212"/>
      <c r="M5212"/>
      <c r="N5212"/>
      <c r="O5212"/>
      <c r="P5212"/>
      <c r="Q5212"/>
      <c r="R5212"/>
      <c r="S5212"/>
    </row>
    <row r="5213" spans="1:19" x14ac:dyDescent="0.25">
      <c r="A5213" s="1"/>
      <c r="B5213"/>
      <c r="C5213"/>
      <c r="D5213"/>
      <c r="E5213"/>
      <c r="F5213"/>
      <c r="G5213"/>
      <c r="H5213"/>
      <c r="I5213"/>
      <c r="J5213"/>
      <c r="K5213"/>
      <c r="L5213"/>
      <c r="M5213"/>
      <c r="N5213"/>
      <c r="O5213"/>
      <c r="P5213"/>
      <c r="Q5213"/>
      <c r="R5213"/>
      <c r="S5213"/>
    </row>
    <row r="5214" spans="1:19" x14ac:dyDescent="0.25">
      <c r="A5214" s="1"/>
      <c r="B5214"/>
      <c r="C5214"/>
      <c r="D5214"/>
      <c r="E5214"/>
      <c r="F5214"/>
      <c r="G5214"/>
      <c r="H5214"/>
      <c r="I5214"/>
      <c r="J5214"/>
      <c r="K5214"/>
      <c r="L5214"/>
      <c r="M5214"/>
      <c r="N5214"/>
      <c r="O5214"/>
      <c r="P5214"/>
      <c r="Q5214"/>
      <c r="R5214"/>
      <c r="S5214"/>
    </row>
    <row r="5215" spans="1:19" x14ac:dyDescent="0.25">
      <c r="A5215" s="1"/>
      <c r="B5215"/>
      <c r="C5215"/>
      <c r="D5215"/>
      <c r="E5215"/>
      <c r="F5215"/>
      <c r="G5215"/>
      <c r="H5215"/>
      <c r="I5215"/>
      <c r="J5215"/>
      <c r="K5215"/>
      <c r="L5215"/>
      <c r="M5215"/>
      <c r="N5215"/>
      <c r="O5215"/>
      <c r="P5215"/>
      <c r="Q5215"/>
      <c r="R5215"/>
      <c r="S5215"/>
    </row>
    <row r="5216" spans="1:19" x14ac:dyDescent="0.25">
      <c r="A5216" s="1"/>
      <c r="B5216"/>
      <c r="C5216"/>
      <c r="D5216"/>
      <c r="E5216"/>
      <c r="F5216"/>
      <c r="G5216"/>
      <c r="H5216"/>
      <c r="I5216"/>
      <c r="J5216"/>
      <c r="K5216"/>
      <c r="L5216"/>
      <c r="M5216"/>
      <c r="N5216"/>
      <c r="O5216"/>
      <c r="P5216"/>
      <c r="Q5216"/>
      <c r="R5216"/>
      <c r="S5216"/>
    </row>
    <row r="5217" spans="1:19" x14ac:dyDescent="0.25">
      <c r="A5217" s="1"/>
      <c r="B5217"/>
      <c r="C5217"/>
      <c r="D5217"/>
      <c r="E5217"/>
      <c r="F5217"/>
      <c r="G5217"/>
      <c r="H5217"/>
      <c r="I5217"/>
      <c r="J5217"/>
      <c r="K5217"/>
      <c r="L5217"/>
      <c r="M5217"/>
      <c r="N5217"/>
      <c r="O5217"/>
      <c r="P5217"/>
      <c r="Q5217"/>
      <c r="R5217"/>
      <c r="S5217"/>
    </row>
    <row r="5218" spans="1:19" x14ac:dyDescent="0.25">
      <c r="A5218" s="1"/>
      <c r="B5218"/>
      <c r="C5218"/>
      <c r="D5218"/>
      <c r="E5218"/>
      <c r="F5218"/>
      <c r="G5218"/>
      <c r="H5218"/>
      <c r="I5218"/>
      <c r="J5218"/>
      <c r="K5218"/>
      <c r="L5218"/>
      <c r="M5218"/>
      <c r="N5218"/>
      <c r="O5218"/>
      <c r="P5218"/>
      <c r="Q5218"/>
      <c r="R5218"/>
      <c r="S5218"/>
    </row>
    <row r="5219" spans="1:19" x14ac:dyDescent="0.25">
      <c r="A5219" s="1"/>
      <c r="B5219"/>
      <c r="C5219"/>
      <c r="D5219"/>
      <c r="E5219"/>
      <c r="F5219"/>
      <c r="G5219"/>
      <c r="H5219"/>
      <c r="I5219"/>
      <c r="J5219"/>
      <c r="K5219"/>
      <c r="L5219"/>
      <c r="M5219"/>
      <c r="N5219"/>
      <c r="O5219"/>
      <c r="P5219"/>
      <c r="Q5219"/>
      <c r="R5219"/>
      <c r="S5219"/>
    </row>
    <row r="5220" spans="1:19" x14ac:dyDescent="0.25">
      <c r="A5220" s="1"/>
      <c r="B5220"/>
      <c r="C5220"/>
      <c r="D5220"/>
      <c r="E5220"/>
      <c r="F5220"/>
      <c r="G5220"/>
      <c r="H5220"/>
      <c r="I5220"/>
      <c r="J5220"/>
      <c r="K5220"/>
      <c r="L5220"/>
      <c r="M5220"/>
      <c r="N5220"/>
      <c r="O5220"/>
      <c r="P5220"/>
      <c r="Q5220"/>
      <c r="R5220"/>
      <c r="S5220"/>
    </row>
    <row r="5221" spans="1:19" x14ac:dyDescent="0.25">
      <c r="A5221" s="1"/>
      <c r="B5221"/>
      <c r="C5221"/>
      <c r="D5221"/>
      <c r="E5221"/>
      <c r="F5221"/>
      <c r="G5221"/>
      <c r="H5221"/>
      <c r="I5221"/>
      <c r="J5221"/>
      <c r="K5221"/>
      <c r="L5221"/>
      <c r="M5221"/>
      <c r="N5221"/>
      <c r="O5221"/>
      <c r="P5221"/>
      <c r="Q5221"/>
      <c r="R5221"/>
      <c r="S5221"/>
    </row>
    <row r="5222" spans="1:19" x14ac:dyDescent="0.25">
      <c r="A5222" s="1"/>
      <c r="B5222"/>
      <c r="C5222"/>
      <c r="D5222"/>
      <c r="E5222"/>
      <c r="F5222"/>
      <c r="G5222"/>
      <c r="H5222"/>
      <c r="I5222"/>
      <c r="J5222"/>
      <c r="K5222"/>
      <c r="L5222"/>
      <c r="M5222"/>
      <c r="N5222"/>
      <c r="O5222"/>
      <c r="P5222"/>
      <c r="Q5222"/>
      <c r="R5222"/>
      <c r="S5222"/>
    </row>
    <row r="5223" spans="1:19" x14ac:dyDescent="0.25">
      <c r="A5223" s="1"/>
      <c r="B5223"/>
      <c r="C5223"/>
      <c r="D5223"/>
      <c r="E5223"/>
      <c r="F5223"/>
      <c r="G5223"/>
      <c r="H5223"/>
      <c r="I5223"/>
      <c r="J5223"/>
      <c r="K5223"/>
      <c r="L5223"/>
      <c r="M5223"/>
      <c r="N5223"/>
      <c r="O5223"/>
      <c r="P5223"/>
      <c r="Q5223"/>
      <c r="R5223"/>
      <c r="S5223"/>
    </row>
    <row r="5224" spans="1:19" x14ac:dyDescent="0.25">
      <c r="A5224" s="1"/>
      <c r="B5224"/>
      <c r="C5224"/>
      <c r="D5224"/>
      <c r="E5224"/>
      <c r="F5224"/>
      <c r="G5224"/>
      <c r="H5224"/>
      <c r="I5224"/>
      <c r="J5224"/>
      <c r="K5224"/>
      <c r="L5224"/>
      <c r="M5224"/>
      <c r="N5224"/>
      <c r="O5224"/>
      <c r="P5224"/>
      <c r="Q5224"/>
      <c r="R5224"/>
      <c r="S5224"/>
    </row>
    <row r="5225" spans="1:19" x14ac:dyDescent="0.25">
      <c r="A5225" s="1"/>
      <c r="B5225"/>
      <c r="C5225"/>
      <c r="D5225"/>
      <c r="E5225"/>
      <c r="F5225"/>
      <c r="G5225"/>
      <c r="H5225"/>
      <c r="I5225"/>
      <c r="J5225"/>
      <c r="K5225"/>
      <c r="L5225"/>
      <c r="M5225"/>
      <c r="N5225"/>
      <c r="O5225"/>
      <c r="P5225"/>
      <c r="Q5225"/>
      <c r="R5225"/>
      <c r="S5225"/>
    </row>
    <row r="5226" spans="1:19" x14ac:dyDescent="0.25">
      <c r="A5226" s="1"/>
      <c r="B5226"/>
      <c r="C5226"/>
      <c r="D5226"/>
      <c r="E5226"/>
      <c r="F5226"/>
      <c r="G5226"/>
      <c r="H5226"/>
      <c r="I5226"/>
      <c r="J5226"/>
      <c r="K5226"/>
      <c r="L5226"/>
      <c r="M5226"/>
      <c r="N5226"/>
      <c r="O5226"/>
      <c r="P5226"/>
      <c r="Q5226"/>
      <c r="R5226"/>
      <c r="S5226"/>
    </row>
    <row r="5227" spans="1:19" x14ac:dyDescent="0.25">
      <c r="A5227" s="1"/>
      <c r="B5227"/>
      <c r="C5227"/>
      <c r="D5227"/>
      <c r="E5227"/>
      <c r="F5227"/>
      <c r="G5227"/>
      <c r="H5227"/>
      <c r="I5227"/>
      <c r="J5227"/>
      <c r="K5227"/>
      <c r="L5227"/>
      <c r="M5227"/>
      <c r="N5227"/>
      <c r="O5227"/>
      <c r="P5227"/>
      <c r="Q5227"/>
      <c r="R5227"/>
      <c r="S5227"/>
    </row>
    <row r="5228" spans="1:19" x14ac:dyDescent="0.25">
      <c r="A5228" s="1"/>
      <c r="B5228"/>
      <c r="C5228"/>
      <c r="D5228"/>
      <c r="E5228"/>
      <c r="F5228"/>
      <c r="G5228"/>
      <c r="H5228"/>
      <c r="I5228"/>
      <c r="J5228"/>
      <c r="K5228"/>
      <c r="L5228"/>
      <c r="M5228"/>
      <c r="N5228"/>
      <c r="O5228"/>
      <c r="P5228"/>
      <c r="Q5228"/>
      <c r="R5228"/>
      <c r="S5228"/>
    </row>
    <row r="5229" spans="1:19" x14ac:dyDescent="0.25">
      <c r="A5229" s="1"/>
      <c r="B5229"/>
      <c r="C5229"/>
      <c r="D5229"/>
      <c r="E5229"/>
      <c r="F5229"/>
      <c r="G5229"/>
      <c r="H5229"/>
      <c r="I5229"/>
      <c r="J5229"/>
      <c r="K5229"/>
      <c r="L5229"/>
      <c r="M5229"/>
      <c r="N5229"/>
      <c r="O5229"/>
      <c r="P5229"/>
      <c r="Q5229"/>
      <c r="R5229"/>
      <c r="S5229"/>
    </row>
    <row r="5230" spans="1:19" x14ac:dyDescent="0.25">
      <c r="A5230" s="1"/>
      <c r="B5230"/>
      <c r="C5230"/>
      <c r="D5230"/>
      <c r="E5230"/>
      <c r="F5230"/>
      <c r="G5230"/>
      <c r="H5230"/>
      <c r="I5230"/>
      <c r="J5230"/>
      <c r="K5230"/>
      <c r="L5230"/>
      <c r="M5230"/>
      <c r="N5230"/>
      <c r="O5230"/>
      <c r="P5230"/>
      <c r="Q5230"/>
      <c r="R5230"/>
      <c r="S5230"/>
    </row>
    <row r="5231" spans="1:19" x14ac:dyDescent="0.25">
      <c r="A5231" s="1"/>
      <c r="B5231"/>
      <c r="C5231"/>
      <c r="D5231"/>
      <c r="E5231"/>
      <c r="F5231"/>
      <c r="G5231"/>
      <c r="H5231"/>
      <c r="I5231"/>
      <c r="J5231"/>
      <c r="K5231"/>
      <c r="L5231"/>
      <c r="M5231"/>
      <c r="N5231"/>
      <c r="O5231"/>
      <c r="P5231"/>
      <c r="Q5231"/>
      <c r="R5231"/>
      <c r="S5231"/>
    </row>
    <row r="5232" spans="1:19" x14ac:dyDescent="0.25">
      <c r="A5232" s="1"/>
      <c r="B5232"/>
      <c r="C5232"/>
      <c r="D5232"/>
      <c r="E5232"/>
      <c r="F5232"/>
      <c r="G5232"/>
      <c r="H5232"/>
      <c r="I5232"/>
      <c r="J5232"/>
      <c r="K5232"/>
      <c r="L5232"/>
      <c r="M5232"/>
      <c r="N5232"/>
      <c r="O5232"/>
      <c r="P5232"/>
      <c r="Q5232"/>
      <c r="R5232"/>
      <c r="S5232"/>
    </row>
    <row r="5233" spans="1:19" x14ac:dyDescent="0.25">
      <c r="A5233" s="1"/>
      <c r="B5233"/>
      <c r="C5233"/>
      <c r="D5233"/>
      <c r="E5233"/>
      <c r="F5233"/>
      <c r="G5233"/>
      <c r="H5233"/>
      <c r="I5233"/>
      <c r="J5233"/>
      <c r="K5233"/>
      <c r="L5233"/>
      <c r="M5233"/>
      <c r="N5233"/>
      <c r="O5233"/>
      <c r="P5233"/>
      <c r="Q5233"/>
      <c r="R5233"/>
      <c r="S5233"/>
    </row>
    <row r="5234" spans="1:19" x14ac:dyDescent="0.25">
      <c r="A5234" s="1"/>
      <c r="B5234"/>
      <c r="C5234"/>
      <c r="D5234"/>
      <c r="E5234"/>
      <c r="F5234"/>
      <c r="G5234"/>
      <c r="H5234"/>
      <c r="I5234"/>
      <c r="J5234"/>
      <c r="K5234"/>
      <c r="L5234"/>
      <c r="M5234"/>
      <c r="N5234"/>
      <c r="O5234"/>
      <c r="P5234"/>
      <c r="Q5234"/>
      <c r="R5234"/>
      <c r="S5234"/>
    </row>
    <row r="5235" spans="1:19" x14ac:dyDescent="0.25">
      <c r="A5235" s="1"/>
      <c r="B5235"/>
      <c r="C5235"/>
      <c r="D5235"/>
      <c r="E5235"/>
      <c r="F5235"/>
      <c r="G5235"/>
      <c r="H5235"/>
      <c r="I5235"/>
      <c r="J5235"/>
      <c r="K5235"/>
      <c r="L5235"/>
      <c r="M5235"/>
      <c r="N5235"/>
      <c r="O5235"/>
      <c r="P5235"/>
      <c r="Q5235"/>
      <c r="R5235"/>
      <c r="S5235"/>
    </row>
    <row r="5236" spans="1:19" x14ac:dyDescent="0.25">
      <c r="A5236" s="1"/>
      <c r="B5236"/>
      <c r="C5236"/>
      <c r="D5236"/>
      <c r="E5236"/>
      <c r="F5236"/>
      <c r="G5236"/>
      <c r="H5236"/>
      <c r="I5236"/>
      <c r="J5236"/>
      <c r="K5236"/>
      <c r="L5236"/>
      <c r="M5236"/>
      <c r="N5236"/>
      <c r="O5236"/>
      <c r="P5236"/>
      <c r="Q5236"/>
      <c r="R5236"/>
      <c r="S5236"/>
    </row>
    <row r="5237" spans="1:19" x14ac:dyDescent="0.25">
      <c r="A5237" s="1"/>
      <c r="B5237"/>
      <c r="C5237"/>
      <c r="D5237"/>
      <c r="E5237"/>
      <c r="F5237"/>
      <c r="G5237"/>
      <c r="H5237"/>
      <c r="I5237"/>
      <c r="J5237"/>
      <c r="K5237"/>
      <c r="L5237"/>
      <c r="M5237"/>
      <c r="N5237"/>
      <c r="O5237"/>
      <c r="P5237"/>
      <c r="Q5237"/>
      <c r="R5237"/>
      <c r="S5237"/>
    </row>
    <row r="5238" spans="1:19" x14ac:dyDescent="0.25">
      <c r="A5238" s="1"/>
      <c r="B5238"/>
      <c r="C5238"/>
      <c r="D5238"/>
      <c r="E5238"/>
      <c r="F5238"/>
      <c r="G5238"/>
      <c r="H5238"/>
      <c r="I5238"/>
      <c r="J5238"/>
      <c r="K5238"/>
      <c r="L5238"/>
      <c r="M5238"/>
      <c r="N5238"/>
      <c r="O5238"/>
      <c r="P5238"/>
      <c r="Q5238"/>
      <c r="R5238"/>
      <c r="S5238"/>
    </row>
    <row r="5239" spans="1:19" x14ac:dyDescent="0.25">
      <c r="A5239" s="1"/>
      <c r="B5239"/>
      <c r="C5239"/>
      <c r="D5239"/>
      <c r="E5239"/>
      <c r="F5239"/>
      <c r="G5239"/>
      <c r="H5239"/>
      <c r="I5239"/>
      <c r="J5239"/>
      <c r="K5239"/>
      <c r="L5239"/>
      <c r="M5239"/>
      <c r="N5239"/>
      <c r="O5239"/>
      <c r="P5239"/>
      <c r="Q5239"/>
      <c r="R5239"/>
      <c r="S5239"/>
    </row>
    <row r="5240" spans="1:19" x14ac:dyDescent="0.25">
      <c r="A5240" s="1"/>
      <c r="B5240"/>
      <c r="C5240"/>
      <c r="D5240"/>
      <c r="E5240"/>
      <c r="F5240"/>
      <c r="G5240"/>
      <c r="H5240"/>
      <c r="I5240"/>
      <c r="J5240"/>
      <c r="K5240"/>
      <c r="L5240"/>
      <c r="M5240"/>
      <c r="N5240"/>
      <c r="O5240"/>
      <c r="P5240"/>
      <c r="Q5240"/>
      <c r="R5240"/>
      <c r="S5240"/>
    </row>
    <row r="5241" spans="1:19" x14ac:dyDescent="0.25">
      <c r="A5241" s="1"/>
      <c r="B5241"/>
      <c r="C5241"/>
      <c r="D5241"/>
      <c r="E5241"/>
      <c r="F5241"/>
      <c r="G5241"/>
      <c r="H5241"/>
      <c r="I5241"/>
      <c r="J5241"/>
      <c r="K5241"/>
      <c r="L5241"/>
      <c r="M5241"/>
      <c r="N5241"/>
      <c r="O5241"/>
      <c r="P5241"/>
      <c r="Q5241"/>
      <c r="R5241"/>
      <c r="S5241"/>
    </row>
    <row r="5242" spans="1:19" x14ac:dyDescent="0.25">
      <c r="A5242" s="1"/>
      <c r="B5242"/>
      <c r="C5242"/>
      <c r="D5242"/>
      <c r="E5242"/>
      <c r="F5242"/>
      <c r="G5242"/>
      <c r="H5242"/>
      <c r="I5242"/>
      <c r="J5242"/>
      <c r="K5242"/>
      <c r="L5242"/>
      <c r="M5242"/>
      <c r="N5242"/>
      <c r="O5242"/>
      <c r="P5242"/>
      <c r="Q5242"/>
      <c r="R5242"/>
      <c r="S5242"/>
    </row>
    <row r="5243" spans="1:19" x14ac:dyDescent="0.25">
      <c r="A5243" s="1"/>
      <c r="B5243"/>
      <c r="C5243"/>
      <c r="D5243"/>
      <c r="E5243"/>
      <c r="F5243"/>
      <c r="G5243"/>
      <c r="H5243"/>
      <c r="I5243"/>
      <c r="J5243"/>
      <c r="K5243"/>
      <c r="L5243"/>
      <c r="M5243"/>
      <c r="N5243"/>
      <c r="O5243"/>
      <c r="P5243"/>
      <c r="Q5243"/>
      <c r="R5243"/>
      <c r="S5243"/>
    </row>
    <row r="5244" spans="1:19" x14ac:dyDescent="0.25">
      <c r="A5244" s="1"/>
      <c r="B5244"/>
      <c r="C5244"/>
      <c r="D5244"/>
      <c r="E5244"/>
      <c r="F5244"/>
      <c r="G5244"/>
      <c r="H5244"/>
      <c r="I5244"/>
      <c r="J5244"/>
      <c r="K5244"/>
      <c r="L5244"/>
      <c r="M5244"/>
      <c r="N5244"/>
      <c r="O5244"/>
      <c r="P5244"/>
      <c r="Q5244"/>
      <c r="R5244"/>
      <c r="S5244"/>
    </row>
    <row r="5245" spans="1:19" x14ac:dyDescent="0.25">
      <c r="A5245" s="1"/>
      <c r="B5245"/>
      <c r="C5245"/>
      <c r="D5245"/>
      <c r="E5245"/>
      <c r="F5245"/>
      <c r="G5245"/>
      <c r="H5245"/>
      <c r="I5245"/>
      <c r="J5245"/>
      <c r="K5245"/>
      <c r="L5245"/>
      <c r="M5245"/>
      <c r="N5245"/>
      <c r="O5245"/>
      <c r="P5245"/>
      <c r="Q5245"/>
      <c r="R5245"/>
      <c r="S5245"/>
    </row>
    <row r="5246" spans="1:19" x14ac:dyDescent="0.25">
      <c r="A5246" s="1"/>
      <c r="B5246"/>
      <c r="C5246"/>
      <c r="D5246"/>
      <c r="E5246"/>
      <c r="F5246"/>
      <c r="G5246"/>
      <c r="H5246"/>
      <c r="I5246"/>
      <c r="J5246"/>
      <c r="K5246"/>
      <c r="L5246"/>
      <c r="M5246"/>
      <c r="N5246"/>
      <c r="O5246"/>
      <c r="P5246"/>
      <c r="Q5246"/>
      <c r="R5246"/>
      <c r="S5246"/>
    </row>
    <row r="5247" spans="1:19" x14ac:dyDescent="0.25">
      <c r="A5247" s="1"/>
      <c r="B5247"/>
      <c r="C5247"/>
      <c r="D5247"/>
      <c r="E5247"/>
      <c r="F5247"/>
      <c r="G5247"/>
      <c r="H5247"/>
      <c r="I5247"/>
      <c r="J5247"/>
      <c r="K5247"/>
      <c r="L5247"/>
      <c r="M5247"/>
      <c r="N5247"/>
      <c r="O5247"/>
      <c r="P5247"/>
      <c r="Q5247"/>
      <c r="R5247"/>
      <c r="S5247"/>
    </row>
    <row r="5248" spans="1:19" x14ac:dyDescent="0.25">
      <c r="A5248" s="1"/>
      <c r="B5248"/>
      <c r="C5248"/>
      <c r="D5248"/>
      <c r="E5248"/>
      <c r="F5248"/>
      <c r="G5248"/>
      <c r="H5248"/>
      <c r="I5248"/>
      <c r="J5248"/>
      <c r="K5248"/>
      <c r="L5248"/>
      <c r="M5248"/>
      <c r="N5248"/>
      <c r="O5248"/>
      <c r="P5248"/>
      <c r="Q5248"/>
      <c r="R5248"/>
      <c r="S5248"/>
    </row>
    <row r="5249" spans="1:19" x14ac:dyDescent="0.25">
      <c r="A5249" s="1"/>
      <c r="B5249"/>
      <c r="C5249"/>
      <c r="D5249"/>
      <c r="E5249"/>
      <c r="F5249"/>
      <c r="G5249"/>
      <c r="H5249"/>
      <c r="I5249"/>
      <c r="J5249"/>
      <c r="K5249"/>
      <c r="L5249"/>
      <c r="M5249"/>
      <c r="N5249"/>
      <c r="O5249"/>
      <c r="P5249"/>
      <c r="Q5249"/>
      <c r="R5249"/>
      <c r="S5249"/>
    </row>
    <row r="5250" spans="1:19" x14ac:dyDescent="0.25">
      <c r="A5250" s="1"/>
      <c r="B5250"/>
      <c r="C5250"/>
      <c r="D5250"/>
      <c r="E5250"/>
      <c r="F5250"/>
      <c r="G5250"/>
      <c r="H5250"/>
      <c r="I5250"/>
      <c r="J5250"/>
      <c r="K5250"/>
      <c r="L5250"/>
      <c r="M5250"/>
      <c r="N5250"/>
      <c r="O5250"/>
      <c r="P5250"/>
      <c r="Q5250"/>
      <c r="R5250"/>
      <c r="S5250"/>
    </row>
    <row r="5251" spans="1:19" x14ac:dyDescent="0.25">
      <c r="A5251" s="1"/>
      <c r="B5251"/>
      <c r="C5251"/>
      <c r="D5251"/>
      <c r="E5251"/>
      <c r="F5251"/>
      <c r="G5251"/>
      <c r="H5251"/>
      <c r="I5251"/>
      <c r="J5251"/>
      <c r="K5251"/>
      <c r="L5251"/>
      <c r="M5251"/>
      <c r="N5251"/>
      <c r="O5251"/>
      <c r="P5251"/>
      <c r="Q5251"/>
      <c r="R5251"/>
      <c r="S5251"/>
    </row>
    <row r="5252" spans="1:19" x14ac:dyDescent="0.25">
      <c r="A5252" s="1"/>
      <c r="B5252"/>
      <c r="C5252"/>
      <c r="D5252"/>
      <c r="E5252"/>
      <c r="F5252"/>
      <c r="G5252"/>
      <c r="H5252"/>
      <c r="I5252"/>
      <c r="J5252"/>
      <c r="K5252"/>
      <c r="L5252"/>
      <c r="M5252"/>
      <c r="N5252"/>
      <c r="O5252"/>
      <c r="P5252"/>
      <c r="Q5252"/>
      <c r="R5252"/>
      <c r="S5252"/>
    </row>
    <row r="5253" spans="1:19" x14ac:dyDescent="0.25">
      <c r="A5253" s="1"/>
      <c r="B5253"/>
      <c r="C5253"/>
      <c r="D5253"/>
      <c r="E5253"/>
      <c r="F5253"/>
      <c r="G5253"/>
      <c r="H5253"/>
      <c r="I5253"/>
      <c r="J5253"/>
      <c r="K5253"/>
      <c r="L5253"/>
      <c r="M5253"/>
      <c r="N5253"/>
      <c r="O5253"/>
      <c r="P5253"/>
      <c r="Q5253"/>
      <c r="R5253"/>
      <c r="S5253"/>
    </row>
    <row r="5254" spans="1:19" x14ac:dyDescent="0.25">
      <c r="A5254" s="1"/>
      <c r="B5254"/>
      <c r="C5254"/>
      <c r="D5254"/>
      <c r="E5254"/>
      <c r="F5254"/>
      <c r="G5254"/>
      <c r="H5254"/>
      <c r="I5254"/>
      <c r="J5254"/>
      <c r="K5254"/>
      <c r="L5254"/>
      <c r="M5254"/>
      <c r="N5254"/>
      <c r="O5254"/>
      <c r="P5254"/>
      <c r="Q5254"/>
      <c r="R5254"/>
      <c r="S5254"/>
    </row>
    <row r="5255" spans="1:19" x14ac:dyDescent="0.25">
      <c r="A5255" s="1"/>
      <c r="B5255"/>
      <c r="C5255"/>
      <c r="D5255"/>
      <c r="E5255"/>
      <c r="F5255"/>
      <c r="G5255"/>
      <c r="H5255"/>
      <c r="I5255"/>
      <c r="J5255"/>
      <c r="K5255"/>
      <c r="L5255"/>
      <c r="M5255"/>
      <c r="N5255"/>
      <c r="O5255"/>
      <c r="P5255"/>
      <c r="Q5255"/>
      <c r="R5255"/>
      <c r="S5255"/>
    </row>
    <row r="5256" spans="1:19" x14ac:dyDescent="0.25">
      <c r="A5256" s="1"/>
      <c r="B5256"/>
      <c r="C5256"/>
      <c r="D5256"/>
      <c r="E5256"/>
      <c r="F5256"/>
      <c r="G5256"/>
      <c r="H5256"/>
      <c r="I5256"/>
      <c r="J5256"/>
      <c r="K5256"/>
      <c r="L5256"/>
      <c r="M5256"/>
      <c r="N5256"/>
      <c r="O5256"/>
      <c r="P5256"/>
      <c r="Q5256"/>
      <c r="R5256"/>
      <c r="S5256"/>
    </row>
    <row r="5257" spans="1:19" x14ac:dyDescent="0.25">
      <c r="A5257" s="1"/>
      <c r="B5257"/>
      <c r="C5257"/>
      <c r="D5257"/>
      <c r="E5257"/>
      <c r="F5257"/>
      <c r="G5257"/>
      <c r="H5257"/>
      <c r="I5257"/>
      <c r="J5257"/>
      <c r="K5257"/>
      <c r="L5257"/>
      <c r="M5257"/>
      <c r="N5257"/>
      <c r="O5257"/>
      <c r="P5257"/>
      <c r="Q5257"/>
      <c r="R5257"/>
      <c r="S5257"/>
    </row>
    <row r="5258" spans="1:19" x14ac:dyDescent="0.25">
      <c r="A5258" s="1"/>
      <c r="B5258"/>
      <c r="C5258"/>
      <c r="D5258"/>
      <c r="E5258"/>
      <c r="F5258"/>
      <c r="G5258"/>
      <c r="H5258"/>
      <c r="I5258"/>
      <c r="J5258"/>
      <c r="K5258"/>
      <c r="L5258"/>
      <c r="M5258"/>
      <c r="N5258"/>
      <c r="O5258"/>
      <c r="P5258"/>
      <c r="Q5258"/>
      <c r="R5258"/>
      <c r="S5258"/>
    </row>
    <row r="5259" spans="1:19" x14ac:dyDescent="0.25">
      <c r="A5259" s="1"/>
      <c r="B5259"/>
      <c r="C5259"/>
      <c r="D5259"/>
      <c r="E5259"/>
      <c r="F5259"/>
      <c r="G5259"/>
      <c r="H5259"/>
      <c r="I5259"/>
      <c r="J5259"/>
      <c r="K5259"/>
      <c r="L5259"/>
      <c r="M5259"/>
      <c r="N5259"/>
      <c r="O5259"/>
      <c r="P5259"/>
      <c r="Q5259"/>
      <c r="R5259"/>
      <c r="S5259"/>
    </row>
    <row r="5260" spans="1:19" x14ac:dyDescent="0.25">
      <c r="A5260" s="1"/>
      <c r="B5260"/>
      <c r="C5260"/>
      <c r="D5260"/>
      <c r="E5260"/>
      <c r="F5260"/>
      <c r="G5260"/>
      <c r="H5260"/>
      <c r="I5260"/>
      <c r="J5260"/>
      <c r="K5260"/>
      <c r="L5260"/>
      <c r="M5260"/>
      <c r="N5260"/>
      <c r="O5260"/>
      <c r="P5260"/>
      <c r="Q5260"/>
      <c r="R5260"/>
      <c r="S5260"/>
    </row>
    <row r="5261" spans="1:19" x14ac:dyDescent="0.25">
      <c r="A5261" s="1"/>
      <c r="B5261"/>
      <c r="C5261"/>
      <c r="D5261"/>
      <c r="E5261"/>
      <c r="F5261"/>
      <c r="G5261"/>
      <c r="H5261"/>
      <c r="I5261"/>
      <c r="J5261"/>
      <c r="K5261"/>
      <c r="L5261"/>
      <c r="M5261"/>
      <c r="N5261"/>
      <c r="O5261"/>
      <c r="P5261"/>
      <c r="Q5261"/>
      <c r="R5261"/>
      <c r="S5261"/>
    </row>
    <row r="5262" spans="1:19" x14ac:dyDescent="0.25">
      <c r="A5262" s="1"/>
      <c r="B5262"/>
      <c r="C5262"/>
      <c r="D5262"/>
      <c r="E5262"/>
      <c r="F5262"/>
      <c r="G5262"/>
      <c r="H5262"/>
      <c r="I5262"/>
      <c r="J5262"/>
      <c r="K5262"/>
      <c r="L5262"/>
      <c r="M5262"/>
      <c r="N5262"/>
      <c r="O5262"/>
      <c r="P5262"/>
      <c r="Q5262"/>
      <c r="R5262"/>
      <c r="S5262"/>
    </row>
    <row r="5263" spans="1:19" x14ac:dyDescent="0.25">
      <c r="A5263" s="1"/>
      <c r="B5263"/>
      <c r="C5263"/>
      <c r="D5263"/>
      <c r="E5263"/>
      <c r="F5263"/>
      <c r="G5263"/>
      <c r="H5263"/>
      <c r="I5263"/>
      <c r="J5263"/>
      <c r="K5263"/>
      <c r="L5263"/>
      <c r="M5263"/>
      <c r="N5263"/>
      <c r="O5263"/>
      <c r="P5263"/>
      <c r="Q5263"/>
      <c r="R5263"/>
      <c r="S5263"/>
    </row>
    <row r="5264" spans="1:19" x14ac:dyDescent="0.25">
      <c r="A5264" s="1"/>
      <c r="B5264"/>
      <c r="C5264"/>
      <c r="D5264"/>
      <c r="E5264"/>
      <c r="F5264"/>
      <c r="G5264"/>
      <c r="H5264"/>
      <c r="I5264"/>
      <c r="J5264"/>
      <c r="K5264"/>
      <c r="L5264"/>
      <c r="M5264"/>
      <c r="N5264"/>
      <c r="O5264"/>
      <c r="P5264"/>
      <c r="Q5264"/>
      <c r="R5264"/>
      <c r="S5264"/>
    </row>
    <row r="5265" spans="1:19" x14ac:dyDescent="0.25">
      <c r="A5265" s="1"/>
      <c r="B5265"/>
      <c r="C5265"/>
      <c r="D5265"/>
      <c r="E5265"/>
      <c r="F5265"/>
      <c r="G5265"/>
      <c r="H5265"/>
      <c r="I5265"/>
      <c r="J5265"/>
      <c r="K5265"/>
      <c r="L5265"/>
      <c r="M5265"/>
      <c r="N5265"/>
      <c r="O5265"/>
      <c r="P5265"/>
      <c r="Q5265"/>
      <c r="R5265"/>
      <c r="S5265"/>
    </row>
    <row r="5266" spans="1:19" x14ac:dyDescent="0.25">
      <c r="A5266" s="1"/>
      <c r="B5266"/>
      <c r="C5266"/>
      <c r="D5266"/>
      <c r="E5266"/>
      <c r="F5266"/>
      <c r="G5266"/>
      <c r="H5266"/>
      <c r="I5266"/>
      <c r="J5266"/>
      <c r="K5266"/>
      <c r="L5266"/>
      <c r="M5266"/>
      <c r="N5266"/>
      <c r="O5266"/>
      <c r="P5266"/>
      <c r="Q5266"/>
      <c r="R5266"/>
      <c r="S5266"/>
    </row>
    <row r="5267" spans="1:19" x14ac:dyDescent="0.25">
      <c r="A5267" s="1"/>
      <c r="B5267"/>
      <c r="C5267"/>
      <c r="D5267"/>
      <c r="E5267"/>
      <c r="F5267"/>
      <c r="G5267"/>
      <c r="H5267"/>
      <c r="I5267"/>
      <c r="J5267"/>
      <c r="K5267"/>
      <c r="L5267"/>
      <c r="M5267"/>
      <c r="N5267"/>
      <c r="O5267"/>
      <c r="P5267"/>
      <c r="Q5267"/>
      <c r="R5267"/>
      <c r="S5267"/>
    </row>
    <row r="5268" spans="1:19" x14ac:dyDescent="0.25">
      <c r="A5268" s="1"/>
      <c r="B5268"/>
      <c r="C5268"/>
      <c r="D5268"/>
      <c r="E5268"/>
      <c r="F5268"/>
      <c r="G5268"/>
      <c r="H5268"/>
      <c r="I5268"/>
      <c r="J5268"/>
      <c r="K5268"/>
      <c r="L5268"/>
      <c r="M5268"/>
      <c r="N5268"/>
      <c r="O5268"/>
      <c r="P5268"/>
      <c r="Q5268"/>
      <c r="R5268"/>
      <c r="S5268"/>
    </row>
    <row r="5269" spans="1:19" x14ac:dyDescent="0.25">
      <c r="A5269" s="1"/>
      <c r="B5269"/>
      <c r="C5269"/>
      <c r="D5269"/>
      <c r="E5269"/>
      <c r="F5269"/>
      <c r="G5269"/>
      <c r="H5269"/>
      <c r="I5269"/>
      <c r="J5269"/>
      <c r="K5269"/>
      <c r="L5269"/>
      <c r="M5269"/>
      <c r="N5269"/>
      <c r="O5269"/>
      <c r="P5269"/>
      <c r="Q5269"/>
      <c r="R5269"/>
      <c r="S5269"/>
    </row>
    <row r="5270" spans="1:19" x14ac:dyDescent="0.25">
      <c r="A5270" s="1"/>
      <c r="B5270"/>
      <c r="C5270"/>
      <c r="D5270"/>
      <c r="E5270"/>
      <c r="F5270"/>
      <c r="G5270"/>
      <c r="H5270"/>
      <c r="I5270"/>
      <c r="J5270"/>
      <c r="K5270"/>
      <c r="L5270"/>
      <c r="M5270"/>
      <c r="N5270"/>
      <c r="O5270"/>
      <c r="P5270"/>
      <c r="Q5270"/>
      <c r="R5270"/>
      <c r="S5270"/>
    </row>
    <row r="5271" spans="1:19" x14ac:dyDescent="0.25">
      <c r="A5271" s="1"/>
      <c r="B5271"/>
      <c r="C5271"/>
      <c r="D5271"/>
      <c r="E5271"/>
      <c r="F5271"/>
      <c r="G5271"/>
      <c r="H5271"/>
      <c r="I5271"/>
      <c r="J5271"/>
      <c r="K5271"/>
      <c r="L5271"/>
      <c r="M5271"/>
      <c r="N5271"/>
      <c r="O5271"/>
      <c r="P5271"/>
      <c r="Q5271"/>
      <c r="R5271"/>
      <c r="S5271"/>
    </row>
    <row r="5272" spans="1:19" x14ac:dyDescent="0.25">
      <c r="A5272" s="1"/>
      <c r="B5272"/>
      <c r="C5272"/>
      <c r="D5272"/>
      <c r="E5272"/>
      <c r="F5272"/>
      <c r="G5272"/>
      <c r="H5272"/>
      <c r="I5272"/>
      <c r="J5272"/>
      <c r="K5272"/>
      <c r="L5272"/>
      <c r="M5272"/>
      <c r="N5272"/>
      <c r="O5272"/>
      <c r="P5272"/>
      <c r="Q5272"/>
      <c r="R5272"/>
      <c r="S5272"/>
    </row>
    <row r="5273" spans="1:19" x14ac:dyDescent="0.25">
      <c r="A5273" s="1"/>
      <c r="B5273"/>
      <c r="C5273"/>
      <c r="D5273"/>
      <c r="E5273"/>
      <c r="F5273"/>
      <c r="G5273"/>
      <c r="H5273"/>
      <c r="I5273"/>
      <c r="J5273"/>
      <c r="K5273"/>
      <c r="L5273"/>
      <c r="M5273"/>
      <c r="N5273"/>
      <c r="O5273"/>
      <c r="P5273"/>
      <c r="Q5273"/>
      <c r="R5273"/>
      <c r="S5273"/>
    </row>
    <row r="5274" spans="1:19" x14ac:dyDescent="0.25">
      <c r="A5274" s="1"/>
      <c r="B5274"/>
      <c r="C5274"/>
      <c r="D5274"/>
      <c r="E5274"/>
      <c r="F5274"/>
      <c r="G5274"/>
      <c r="H5274"/>
      <c r="I5274"/>
      <c r="J5274"/>
      <c r="K5274"/>
      <c r="L5274"/>
      <c r="M5274"/>
      <c r="N5274"/>
      <c r="O5274"/>
      <c r="P5274"/>
      <c r="Q5274"/>
      <c r="R5274"/>
      <c r="S5274"/>
    </row>
    <row r="5275" spans="1:19" x14ac:dyDescent="0.25">
      <c r="A5275" s="1"/>
      <c r="B5275"/>
      <c r="C5275"/>
      <c r="D5275"/>
      <c r="E5275"/>
      <c r="F5275"/>
      <c r="G5275"/>
      <c r="H5275"/>
      <c r="I5275"/>
      <c r="J5275"/>
      <c r="K5275"/>
      <c r="L5275"/>
      <c r="M5275"/>
      <c r="N5275"/>
      <c r="O5275"/>
      <c r="P5275"/>
      <c r="Q5275"/>
      <c r="R5275"/>
      <c r="S5275"/>
    </row>
    <row r="5276" spans="1:19" x14ac:dyDescent="0.25">
      <c r="A5276" s="1"/>
      <c r="B5276"/>
      <c r="C5276"/>
      <c r="D5276"/>
      <c r="E5276"/>
      <c r="F5276"/>
      <c r="G5276"/>
      <c r="H5276"/>
      <c r="I5276"/>
      <c r="J5276"/>
      <c r="K5276"/>
      <c r="L5276"/>
      <c r="M5276"/>
      <c r="N5276"/>
      <c r="O5276"/>
      <c r="P5276"/>
      <c r="Q5276"/>
      <c r="R5276"/>
      <c r="S5276"/>
    </row>
    <row r="5277" spans="1:19" x14ac:dyDescent="0.25">
      <c r="A5277" s="1"/>
      <c r="B5277"/>
      <c r="C5277"/>
      <c r="D5277"/>
      <c r="E5277"/>
      <c r="F5277"/>
      <c r="G5277"/>
      <c r="H5277"/>
      <c r="I5277"/>
      <c r="J5277"/>
      <c r="K5277"/>
      <c r="L5277"/>
      <c r="M5277"/>
      <c r="N5277"/>
      <c r="O5277"/>
      <c r="P5277"/>
      <c r="Q5277"/>
      <c r="R5277"/>
      <c r="S5277"/>
    </row>
    <row r="5278" spans="1:19" x14ac:dyDescent="0.25">
      <c r="A5278" s="1"/>
      <c r="B5278"/>
      <c r="C5278"/>
      <c r="D5278"/>
      <c r="E5278"/>
      <c r="F5278"/>
      <c r="G5278"/>
      <c r="H5278"/>
      <c r="I5278"/>
      <c r="J5278"/>
      <c r="K5278"/>
      <c r="L5278"/>
      <c r="M5278"/>
      <c r="N5278"/>
      <c r="O5278"/>
      <c r="P5278"/>
      <c r="Q5278"/>
      <c r="R5278"/>
      <c r="S5278"/>
    </row>
    <row r="5279" spans="1:19" x14ac:dyDescent="0.25">
      <c r="A5279" s="1"/>
      <c r="B5279"/>
      <c r="C5279"/>
      <c r="D5279"/>
      <c r="E5279"/>
      <c r="F5279"/>
      <c r="G5279"/>
      <c r="H5279"/>
      <c r="I5279"/>
      <c r="J5279"/>
      <c r="K5279"/>
      <c r="L5279"/>
      <c r="M5279"/>
      <c r="N5279"/>
      <c r="O5279"/>
      <c r="P5279"/>
      <c r="Q5279"/>
      <c r="R5279"/>
      <c r="S5279"/>
    </row>
    <row r="5280" spans="1:19" x14ac:dyDescent="0.25">
      <c r="A5280" s="1"/>
      <c r="B5280"/>
      <c r="C5280"/>
      <c r="D5280"/>
      <c r="E5280"/>
      <c r="F5280"/>
      <c r="G5280"/>
      <c r="H5280"/>
      <c r="I5280"/>
      <c r="J5280"/>
      <c r="K5280"/>
      <c r="L5280"/>
      <c r="M5280"/>
      <c r="N5280"/>
      <c r="O5280"/>
      <c r="P5280"/>
      <c r="Q5280"/>
      <c r="R5280"/>
      <c r="S5280"/>
    </row>
    <row r="5281" spans="1:19" x14ac:dyDescent="0.25">
      <c r="A5281" s="1"/>
      <c r="B5281"/>
      <c r="C5281"/>
      <c r="D5281"/>
      <c r="E5281"/>
      <c r="F5281"/>
      <c r="G5281"/>
      <c r="H5281"/>
      <c r="I5281"/>
      <c r="J5281"/>
      <c r="K5281"/>
      <c r="L5281"/>
      <c r="M5281"/>
      <c r="N5281"/>
      <c r="O5281"/>
      <c r="P5281"/>
      <c r="Q5281"/>
      <c r="R5281"/>
      <c r="S5281"/>
    </row>
    <row r="5282" spans="1:19" x14ac:dyDescent="0.25">
      <c r="A5282" s="1"/>
      <c r="B5282"/>
      <c r="C5282"/>
      <c r="D5282"/>
      <c r="E5282"/>
      <c r="F5282"/>
      <c r="G5282"/>
      <c r="H5282"/>
      <c r="I5282"/>
      <c r="J5282"/>
      <c r="K5282"/>
      <c r="L5282"/>
      <c r="M5282"/>
      <c r="N5282"/>
      <c r="O5282"/>
      <c r="P5282"/>
      <c r="Q5282"/>
      <c r="R5282"/>
      <c r="S5282"/>
    </row>
    <row r="5283" spans="1:19" x14ac:dyDescent="0.25">
      <c r="A5283" s="1"/>
      <c r="B5283"/>
      <c r="C5283"/>
      <c r="D5283"/>
      <c r="E5283"/>
      <c r="F5283"/>
      <c r="G5283"/>
      <c r="H5283"/>
      <c r="I5283"/>
      <c r="J5283"/>
      <c r="K5283"/>
      <c r="L5283"/>
      <c r="M5283"/>
      <c r="N5283"/>
      <c r="O5283"/>
      <c r="P5283"/>
      <c r="Q5283"/>
      <c r="R5283"/>
      <c r="S5283"/>
    </row>
    <row r="5284" spans="1:19" x14ac:dyDescent="0.25">
      <c r="A5284" s="1"/>
      <c r="B5284"/>
      <c r="C5284"/>
      <c r="D5284"/>
      <c r="E5284"/>
      <c r="F5284"/>
      <c r="G5284"/>
      <c r="H5284"/>
      <c r="I5284"/>
      <c r="J5284"/>
      <c r="K5284"/>
      <c r="L5284"/>
      <c r="M5284"/>
      <c r="N5284"/>
      <c r="O5284"/>
      <c r="P5284"/>
      <c r="Q5284"/>
      <c r="R5284"/>
      <c r="S5284"/>
    </row>
    <row r="5285" spans="1:19" x14ac:dyDescent="0.25">
      <c r="A5285" s="1"/>
      <c r="B5285"/>
      <c r="C5285"/>
      <c r="D5285"/>
      <c r="E5285"/>
      <c r="F5285"/>
      <c r="G5285"/>
      <c r="H5285"/>
      <c r="I5285"/>
      <c r="J5285"/>
      <c r="K5285"/>
      <c r="L5285"/>
      <c r="M5285"/>
      <c r="N5285"/>
      <c r="O5285"/>
      <c r="P5285"/>
      <c r="Q5285"/>
      <c r="R5285"/>
      <c r="S5285"/>
    </row>
    <row r="5286" spans="1:19" x14ac:dyDescent="0.25">
      <c r="A5286" s="1"/>
      <c r="B5286"/>
      <c r="C5286"/>
      <c r="D5286"/>
      <c r="E5286"/>
      <c r="F5286"/>
      <c r="G5286"/>
      <c r="H5286"/>
      <c r="I5286"/>
      <c r="J5286"/>
      <c r="K5286"/>
      <c r="L5286"/>
      <c r="M5286"/>
      <c r="N5286"/>
      <c r="O5286"/>
      <c r="P5286"/>
      <c r="Q5286"/>
      <c r="R5286"/>
      <c r="S5286"/>
    </row>
    <row r="5287" spans="1:19" x14ac:dyDescent="0.25">
      <c r="A5287" s="1"/>
      <c r="B5287"/>
      <c r="C5287"/>
      <c r="D5287"/>
      <c r="E5287"/>
      <c r="F5287"/>
      <c r="G5287"/>
      <c r="H5287"/>
      <c r="I5287"/>
      <c r="J5287"/>
      <c r="K5287"/>
      <c r="L5287"/>
      <c r="M5287"/>
      <c r="N5287"/>
      <c r="O5287"/>
      <c r="P5287"/>
      <c r="Q5287"/>
      <c r="R5287"/>
      <c r="S5287"/>
    </row>
    <row r="5288" spans="1:19" x14ac:dyDescent="0.25">
      <c r="A5288" s="1"/>
      <c r="B5288"/>
      <c r="C5288"/>
      <c r="D5288"/>
      <c r="E5288"/>
      <c r="F5288"/>
      <c r="G5288"/>
      <c r="H5288"/>
      <c r="I5288"/>
      <c r="J5288"/>
      <c r="K5288"/>
      <c r="L5288"/>
      <c r="M5288"/>
      <c r="N5288"/>
      <c r="O5288"/>
      <c r="P5288"/>
      <c r="Q5288"/>
      <c r="R5288"/>
      <c r="S5288"/>
    </row>
    <row r="5289" spans="1:19" x14ac:dyDescent="0.25">
      <c r="A5289" s="1"/>
      <c r="B5289"/>
      <c r="C5289"/>
      <c r="D5289"/>
      <c r="E5289"/>
      <c r="F5289"/>
      <c r="G5289"/>
      <c r="H5289"/>
      <c r="I5289"/>
      <c r="J5289"/>
      <c r="K5289"/>
      <c r="L5289"/>
      <c r="M5289"/>
      <c r="N5289"/>
      <c r="O5289"/>
      <c r="P5289"/>
      <c r="Q5289"/>
      <c r="R5289"/>
      <c r="S5289"/>
    </row>
    <row r="5290" spans="1:19" x14ac:dyDescent="0.25">
      <c r="A5290" s="1"/>
      <c r="B5290"/>
      <c r="C5290"/>
      <c r="D5290"/>
      <c r="E5290"/>
      <c r="F5290"/>
      <c r="G5290"/>
      <c r="H5290"/>
      <c r="I5290"/>
      <c r="J5290"/>
      <c r="K5290"/>
      <c r="L5290"/>
      <c r="M5290"/>
      <c r="N5290"/>
      <c r="O5290"/>
      <c r="P5290"/>
      <c r="Q5290"/>
      <c r="R5290"/>
      <c r="S5290"/>
    </row>
    <row r="5291" spans="1:19" x14ac:dyDescent="0.25">
      <c r="A5291" s="1"/>
      <c r="B5291"/>
      <c r="C5291"/>
      <c r="D5291"/>
      <c r="E5291"/>
      <c r="F5291"/>
      <c r="G5291"/>
      <c r="H5291"/>
      <c r="I5291"/>
      <c r="J5291"/>
      <c r="K5291"/>
      <c r="L5291"/>
      <c r="M5291"/>
      <c r="N5291"/>
      <c r="O5291"/>
      <c r="P5291"/>
      <c r="Q5291"/>
      <c r="R5291"/>
      <c r="S5291"/>
    </row>
    <row r="5292" spans="1:19" x14ac:dyDescent="0.25">
      <c r="A5292" s="1"/>
      <c r="B5292"/>
      <c r="C5292"/>
      <c r="D5292"/>
      <c r="E5292"/>
      <c r="F5292"/>
      <c r="G5292"/>
      <c r="H5292"/>
      <c r="I5292"/>
      <c r="J5292"/>
      <c r="K5292"/>
      <c r="L5292"/>
      <c r="M5292"/>
      <c r="N5292"/>
      <c r="O5292"/>
      <c r="P5292"/>
      <c r="Q5292"/>
      <c r="R5292"/>
      <c r="S5292"/>
    </row>
    <row r="5293" spans="1:19" x14ac:dyDescent="0.25">
      <c r="A5293" s="1"/>
      <c r="B5293"/>
      <c r="C5293"/>
      <c r="D5293"/>
      <c r="E5293"/>
      <c r="F5293"/>
      <c r="G5293"/>
      <c r="H5293"/>
      <c r="I5293"/>
      <c r="J5293"/>
      <c r="K5293"/>
      <c r="L5293"/>
      <c r="M5293"/>
      <c r="N5293"/>
      <c r="O5293"/>
      <c r="P5293"/>
      <c r="Q5293"/>
      <c r="R5293"/>
      <c r="S5293"/>
    </row>
    <row r="5294" spans="1:19" x14ac:dyDescent="0.25">
      <c r="A5294" s="1"/>
      <c r="B5294"/>
      <c r="C5294"/>
      <c r="D5294"/>
      <c r="E5294"/>
      <c r="F5294"/>
      <c r="G5294"/>
      <c r="H5294"/>
      <c r="I5294"/>
      <c r="J5294"/>
      <c r="K5294"/>
      <c r="L5294"/>
      <c r="M5294"/>
      <c r="N5294"/>
      <c r="O5294"/>
      <c r="P5294"/>
      <c r="Q5294"/>
      <c r="R5294"/>
      <c r="S5294"/>
    </row>
    <row r="5295" spans="1:19" x14ac:dyDescent="0.25">
      <c r="A5295" s="1"/>
      <c r="B5295"/>
      <c r="C5295"/>
      <c r="D5295"/>
      <c r="E5295"/>
      <c r="F5295"/>
      <c r="G5295"/>
      <c r="H5295"/>
      <c r="I5295"/>
      <c r="J5295"/>
      <c r="K5295"/>
      <c r="L5295"/>
      <c r="M5295"/>
      <c r="N5295"/>
      <c r="O5295"/>
      <c r="P5295"/>
      <c r="Q5295"/>
      <c r="R5295"/>
      <c r="S5295"/>
    </row>
    <row r="5296" spans="1:19" x14ac:dyDescent="0.25">
      <c r="A5296" s="1"/>
      <c r="B5296"/>
      <c r="C5296"/>
      <c r="D5296"/>
      <c r="E5296"/>
      <c r="F5296"/>
      <c r="G5296"/>
      <c r="H5296"/>
      <c r="I5296"/>
      <c r="J5296"/>
      <c r="K5296"/>
      <c r="L5296"/>
      <c r="M5296"/>
      <c r="N5296"/>
      <c r="O5296"/>
      <c r="P5296"/>
      <c r="Q5296"/>
      <c r="R5296"/>
      <c r="S5296"/>
    </row>
    <row r="5297" spans="1:19" x14ac:dyDescent="0.25">
      <c r="A5297" s="1"/>
      <c r="B5297"/>
      <c r="C5297"/>
      <c r="D5297"/>
      <c r="E5297"/>
      <c r="F5297"/>
      <c r="G5297"/>
      <c r="H5297"/>
      <c r="I5297"/>
      <c r="J5297"/>
      <c r="K5297"/>
      <c r="L5297"/>
      <c r="M5297"/>
      <c r="N5297"/>
      <c r="O5297"/>
      <c r="P5297"/>
      <c r="Q5297"/>
      <c r="R5297"/>
      <c r="S5297"/>
    </row>
    <row r="5298" spans="1:19" x14ac:dyDescent="0.25">
      <c r="A5298" s="1"/>
      <c r="B5298"/>
      <c r="C5298"/>
      <c r="D5298"/>
      <c r="E5298"/>
      <c r="F5298"/>
      <c r="G5298"/>
      <c r="H5298"/>
      <c r="I5298"/>
      <c r="J5298"/>
      <c r="K5298"/>
      <c r="L5298"/>
      <c r="M5298"/>
      <c r="N5298"/>
      <c r="O5298"/>
      <c r="P5298"/>
      <c r="Q5298"/>
      <c r="R5298"/>
      <c r="S5298"/>
    </row>
    <row r="5299" spans="1:19" x14ac:dyDescent="0.25">
      <c r="A5299" s="1"/>
      <c r="B5299"/>
      <c r="C5299"/>
      <c r="D5299"/>
      <c r="E5299"/>
      <c r="F5299"/>
      <c r="G5299"/>
      <c r="H5299"/>
      <c r="I5299"/>
      <c r="J5299"/>
      <c r="K5299"/>
      <c r="L5299"/>
      <c r="M5299"/>
      <c r="N5299"/>
      <c r="O5299"/>
      <c r="P5299"/>
      <c r="Q5299"/>
      <c r="R5299"/>
      <c r="S5299"/>
    </row>
    <row r="5300" spans="1:19" x14ac:dyDescent="0.25">
      <c r="A5300" s="1"/>
      <c r="B5300"/>
      <c r="C5300"/>
      <c r="D5300"/>
      <c r="E5300"/>
      <c r="F5300"/>
      <c r="G5300"/>
      <c r="H5300"/>
      <c r="I5300"/>
      <c r="J5300"/>
      <c r="K5300"/>
      <c r="L5300"/>
      <c r="M5300"/>
      <c r="N5300"/>
      <c r="O5300"/>
      <c r="P5300"/>
      <c r="Q5300"/>
      <c r="R5300"/>
      <c r="S5300"/>
    </row>
    <row r="5301" spans="1:19" x14ac:dyDescent="0.25">
      <c r="A5301" s="1"/>
      <c r="B5301"/>
      <c r="C5301"/>
      <c r="D5301"/>
      <c r="E5301"/>
      <c r="F5301"/>
      <c r="G5301"/>
      <c r="H5301"/>
      <c r="I5301"/>
      <c r="J5301"/>
      <c r="K5301"/>
      <c r="L5301"/>
      <c r="M5301"/>
      <c r="N5301"/>
      <c r="O5301"/>
      <c r="P5301"/>
      <c r="Q5301"/>
      <c r="R5301"/>
      <c r="S5301"/>
    </row>
    <row r="5302" spans="1:19" x14ac:dyDescent="0.25">
      <c r="A5302" s="1"/>
      <c r="B5302"/>
      <c r="C5302"/>
      <c r="D5302"/>
      <c r="E5302"/>
      <c r="F5302"/>
      <c r="G5302"/>
      <c r="H5302"/>
      <c r="I5302"/>
      <c r="J5302"/>
      <c r="K5302"/>
      <c r="L5302"/>
      <c r="M5302"/>
      <c r="N5302"/>
      <c r="O5302"/>
      <c r="P5302"/>
      <c r="Q5302"/>
      <c r="R5302"/>
      <c r="S5302"/>
    </row>
    <row r="5303" spans="1:19" x14ac:dyDescent="0.25">
      <c r="A5303" s="1"/>
      <c r="B5303"/>
      <c r="C5303"/>
      <c r="D5303"/>
      <c r="E5303"/>
      <c r="F5303"/>
      <c r="G5303"/>
      <c r="H5303"/>
      <c r="I5303"/>
      <c r="J5303"/>
      <c r="K5303"/>
      <c r="L5303"/>
      <c r="M5303"/>
      <c r="N5303"/>
      <c r="O5303"/>
      <c r="P5303"/>
      <c r="Q5303"/>
      <c r="R5303"/>
      <c r="S5303"/>
    </row>
    <row r="5304" spans="1:19" x14ac:dyDescent="0.25">
      <c r="A5304" s="1"/>
      <c r="B5304"/>
      <c r="C5304"/>
      <c r="D5304"/>
      <c r="E5304"/>
      <c r="F5304"/>
      <c r="G5304"/>
      <c r="H5304"/>
      <c r="I5304"/>
      <c r="J5304"/>
      <c r="K5304"/>
      <c r="L5304"/>
      <c r="M5304"/>
      <c r="N5304"/>
      <c r="O5304"/>
      <c r="P5304"/>
      <c r="Q5304"/>
      <c r="R5304"/>
      <c r="S5304"/>
    </row>
    <row r="5305" spans="1:19" x14ac:dyDescent="0.25">
      <c r="A5305" s="1"/>
      <c r="B5305"/>
      <c r="C5305"/>
      <c r="D5305"/>
      <c r="E5305"/>
      <c r="F5305"/>
      <c r="G5305"/>
      <c r="H5305"/>
      <c r="I5305"/>
      <c r="J5305"/>
      <c r="K5305"/>
      <c r="L5305"/>
      <c r="M5305"/>
      <c r="N5305"/>
      <c r="O5305"/>
      <c r="P5305"/>
      <c r="Q5305"/>
      <c r="R5305"/>
      <c r="S5305"/>
    </row>
    <row r="5306" spans="1:19" x14ac:dyDescent="0.25">
      <c r="A5306" s="1"/>
      <c r="B5306"/>
      <c r="C5306"/>
      <c r="D5306"/>
      <c r="E5306"/>
      <c r="F5306"/>
      <c r="G5306"/>
      <c r="H5306"/>
      <c r="I5306"/>
      <c r="J5306"/>
      <c r="K5306"/>
      <c r="L5306"/>
      <c r="M5306"/>
      <c r="N5306"/>
      <c r="O5306"/>
      <c r="P5306"/>
      <c r="Q5306"/>
      <c r="R5306"/>
      <c r="S5306"/>
    </row>
    <row r="5307" spans="1:19" x14ac:dyDescent="0.25">
      <c r="A5307" s="1"/>
      <c r="B5307"/>
      <c r="C5307"/>
      <c r="D5307"/>
      <c r="E5307"/>
      <c r="F5307"/>
      <c r="G5307"/>
      <c r="H5307"/>
      <c r="I5307"/>
      <c r="J5307"/>
      <c r="K5307"/>
      <c r="L5307"/>
      <c r="M5307"/>
      <c r="N5307"/>
      <c r="O5307"/>
      <c r="P5307"/>
      <c r="Q5307"/>
      <c r="R5307"/>
      <c r="S5307"/>
    </row>
    <row r="5308" spans="1:19" x14ac:dyDescent="0.25">
      <c r="A5308" s="1"/>
      <c r="B5308"/>
      <c r="C5308"/>
      <c r="D5308"/>
      <c r="E5308"/>
      <c r="F5308"/>
      <c r="G5308"/>
      <c r="H5308"/>
      <c r="I5308"/>
      <c r="J5308"/>
      <c r="K5308"/>
      <c r="L5308"/>
      <c r="M5308"/>
      <c r="N5308"/>
      <c r="O5308"/>
      <c r="P5308"/>
      <c r="Q5308"/>
      <c r="R5308"/>
      <c r="S5308"/>
    </row>
    <row r="5309" spans="1:19" x14ac:dyDescent="0.25">
      <c r="A5309" s="1"/>
      <c r="B5309"/>
      <c r="C5309"/>
      <c r="D5309"/>
      <c r="E5309"/>
      <c r="F5309"/>
      <c r="G5309"/>
      <c r="H5309"/>
      <c r="I5309"/>
      <c r="J5309"/>
      <c r="K5309"/>
      <c r="L5309"/>
      <c r="M5309"/>
      <c r="N5309"/>
      <c r="O5309"/>
      <c r="P5309"/>
      <c r="Q5309"/>
      <c r="R5309"/>
      <c r="S5309"/>
    </row>
    <row r="5310" spans="1:19" x14ac:dyDescent="0.25">
      <c r="A5310" s="1"/>
      <c r="B5310"/>
      <c r="C5310"/>
      <c r="D5310"/>
      <c r="E5310"/>
      <c r="F5310"/>
      <c r="G5310"/>
      <c r="H5310"/>
      <c r="I5310"/>
      <c r="J5310"/>
      <c r="K5310"/>
      <c r="L5310"/>
      <c r="M5310"/>
      <c r="N5310"/>
      <c r="O5310"/>
      <c r="P5310"/>
      <c r="Q5310"/>
      <c r="R5310"/>
      <c r="S5310"/>
    </row>
    <row r="5311" spans="1:19" x14ac:dyDescent="0.25">
      <c r="A5311" s="1"/>
      <c r="B5311"/>
      <c r="C5311"/>
      <c r="D5311"/>
      <c r="E5311"/>
      <c r="F5311"/>
      <c r="G5311"/>
      <c r="H5311"/>
      <c r="I5311"/>
      <c r="J5311"/>
      <c r="K5311"/>
      <c r="L5311"/>
      <c r="M5311"/>
      <c r="N5311"/>
      <c r="O5311"/>
      <c r="P5311"/>
      <c r="Q5311"/>
      <c r="R5311"/>
      <c r="S5311"/>
    </row>
    <row r="5312" spans="1:19" x14ac:dyDescent="0.25">
      <c r="A5312" s="1"/>
      <c r="B5312"/>
      <c r="C5312"/>
      <c r="D5312"/>
      <c r="E5312"/>
      <c r="F5312"/>
      <c r="G5312"/>
      <c r="H5312"/>
      <c r="I5312"/>
      <c r="J5312"/>
      <c r="K5312"/>
      <c r="L5312"/>
      <c r="M5312"/>
      <c r="N5312"/>
      <c r="O5312"/>
      <c r="P5312"/>
      <c r="Q5312"/>
      <c r="R5312"/>
      <c r="S5312"/>
    </row>
    <row r="5313" spans="1:19" x14ac:dyDescent="0.25">
      <c r="A5313" s="1"/>
      <c r="B5313"/>
      <c r="C5313"/>
      <c r="D5313"/>
      <c r="E5313"/>
      <c r="F5313"/>
      <c r="G5313"/>
      <c r="H5313"/>
      <c r="I5313"/>
      <c r="J5313"/>
      <c r="K5313"/>
      <c r="L5313"/>
      <c r="M5313"/>
      <c r="N5313"/>
      <c r="O5313"/>
      <c r="P5313"/>
      <c r="Q5313"/>
      <c r="R5313"/>
      <c r="S5313"/>
    </row>
    <row r="5314" spans="1:19" x14ac:dyDescent="0.25">
      <c r="A5314" s="1"/>
      <c r="B5314"/>
      <c r="C5314"/>
      <c r="D5314"/>
      <c r="E5314"/>
      <c r="F5314"/>
      <c r="G5314"/>
      <c r="H5314"/>
      <c r="I5314"/>
      <c r="J5314"/>
      <c r="K5314"/>
      <c r="L5314"/>
      <c r="M5314"/>
      <c r="N5314"/>
      <c r="O5314"/>
      <c r="P5314"/>
      <c r="Q5314"/>
      <c r="R5314"/>
      <c r="S5314"/>
    </row>
    <row r="5315" spans="1:19" x14ac:dyDescent="0.25">
      <c r="A5315" s="1"/>
      <c r="B5315"/>
      <c r="C5315"/>
      <c r="D5315"/>
      <c r="E5315"/>
      <c r="F5315"/>
      <c r="G5315"/>
      <c r="H5315"/>
      <c r="I5315"/>
      <c r="J5315"/>
      <c r="K5315"/>
      <c r="L5315"/>
      <c r="M5315"/>
      <c r="N5315"/>
      <c r="O5315"/>
      <c r="P5315"/>
      <c r="Q5315"/>
      <c r="R5315"/>
      <c r="S5315"/>
    </row>
    <row r="5316" spans="1:19" x14ac:dyDescent="0.25">
      <c r="A5316" s="1"/>
      <c r="B5316"/>
      <c r="C5316"/>
      <c r="D5316"/>
      <c r="E5316"/>
      <c r="F5316"/>
      <c r="G5316"/>
      <c r="H5316"/>
      <c r="I5316"/>
      <c r="J5316"/>
      <c r="K5316"/>
      <c r="L5316"/>
      <c r="M5316"/>
      <c r="N5316"/>
      <c r="O5316"/>
      <c r="P5316"/>
      <c r="Q5316"/>
      <c r="R5316"/>
      <c r="S5316"/>
    </row>
    <row r="5317" spans="1:19" x14ac:dyDescent="0.25">
      <c r="A5317" s="1"/>
      <c r="B5317"/>
      <c r="C5317"/>
      <c r="D5317"/>
      <c r="E5317"/>
      <c r="F5317"/>
      <c r="G5317"/>
      <c r="H5317"/>
      <c r="I5317"/>
      <c r="J5317"/>
      <c r="K5317"/>
      <c r="L5317"/>
      <c r="M5317"/>
      <c r="N5317"/>
      <c r="O5317"/>
      <c r="P5317"/>
      <c r="Q5317"/>
      <c r="R5317"/>
      <c r="S5317"/>
    </row>
    <row r="5318" spans="1:19" x14ac:dyDescent="0.25">
      <c r="A5318" s="1"/>
      <c r="B5318"/>
      <c r="C5318"/>
      <c r="D5318"/>
      <c r="E5318"/>
      <c r="F5318"/>
      <c r="G5318"/>
      <c r="H5318"/>
      <c r="I5318"/>
      <c r="J5318"/>
      <c r="K5318"/>
      <c r="L5318"/>
      <c r="M5318"/>
      <c r="N5318"/>
      <c r="O5318"/>
      <c r="P5318"/>
      <c r="Q5318"/>
      <c r="R5318"/>
      <c r="S5318"/>
    </row>
    <row r="5319" spans="1:19" x14ac:dyDescent="0.25">
      <c r="A5319" s="1"/>
      <c r="B5319"/>
      <c r="C5319"/>
      <c r="D5319"/>
      <c r="E5319"/>
      <c r="F5319"/>
      <c r="G5319"/>
      <c r="H5319"/>
      <c r="I5319"/>
      <c r="J5319"/>
      <c r="K5319"/>
      <c r="L5319"/>
      <c r="M5319"/>
      <c r="N5319"/>
      <c r="O5319"/>
      <c r="P5319"/>
      <c r="Q5319"/>
      <c r="R5319"/>
      <c r="S5319"/>
    </row>
    <row r="5320" spans="1:19" x14ac:dyDescent="0.25">
      <c r="A5320" s="1"/>
      <c r="B5320"/>
      <c r="C5320"/>
      <c r="D5320"/>
      <c r="E5320"/>
      <c r="F5320"/>
      <c r="G5320"/>
      <c r="H5320"/>
      <c r="I5320"/>
      <c r="J5320"/>
      <c r="K5320"/>
      <c r="L5320"/>
      <c r="M5320"/>
      <c r="N5320"/>
      <c r="O5320"/>
      <c r="P5320"/>
      <c r="Q5320"/>
      <c r="R5320"/>
      <c r="S5320"/>
    </row>
    <row r="5321" spans="1:19" x14ac:dyDescent="0.25">
      <c r="A5321" s="1"/>
      <c r="B5321"/>
      <c r="C5321"/>
      <c r="D5321"/>
      <c r="E5321"/>
      <c r="F5321"/>
      <c r="G5321"/>
      <c r="H5321"/>
      <c r="I5321"/>
      <c r="J5321"/>
      <c r="K5321"/>
      <c r="L5321"/>
      <c r="M5321"/>
      <c r="N5321"/>
      <c r="O5321"/>
      <c r="P5321"/>
      <c r="Q5321"/>
      <c r="R5321"/>
      <c r="S5321"/>
    </row>
    <row r="5322" spans="1:19" x14ac:dyDescent="0.25">
      <c r="A5322" s="1"/>
      <c r="B5322"/>
      <c r="C5322"/>
      <c r="D5322"/>
      <c r="E5322"/>
      <c r="F5322"/>
      <c r="G5322"/>
      <c r="H5322"/>
      <c r="I5322"/>
      <c r="J5322"/>
      <c r="K5322"/>
      <c r="L5322"/>
      <c r="M5322"/>
      <c r="N5322"/>
      <c r="O5322"/>
      <c r="P5322"/>
      <c r="Q5322"/>
      <c r="R5322"/>
      <c r="S5322"/>
    </row>
    <row r="5323" spans="1:19" x14ac:dyDescent="0.25">
      <c r="A5323" s="1"/>
      <c r="B5323"/>
      <c r="C5323"/>
      <c r="D5323"/>
      <c r="E5323"/>
      <c r="F5323"/>
      <c r="G5323"/>
      <c r="H5323"/>
      <c r="I5323"/>
      <c r="J5323"/>
      <c r="K5323"/>
      <c r="L5323"/>
      <c r="M5323"/>
      <c r="N5323"/>
      <c r="O5323"/>
      <c r="P5323"/>
      <c r="Q5323"/>
      <c r="R5323"/>
      <c r="S5323"/>
    </row>
    <row r="5324" spans="1:19" x14ac:dyDescent="0.25">
      <c r="A5324" s="1"/>
      <c r="B5324"/>
      <c r="C5324"/>
      <c r="D5324"/>
      <c r="E5324"/>
      <c r="F5324"/>
      <c r="G5324"/>
      <c r="H5324"/>
      <c r="I5324"/>
      <c r="J5324"/>
      <c r="K5324"/>
      <c r="L5324"/>
      <c r="M5324"/>
      <c r="N5324"/>
      <c r="O5324"/>
      <c r="P5324"/>
      <c r="Q5324"/>
      <c r="R5324"/>
      <c r="S5324"/>
    </row>
    <row r="5325" spans="1:19" x14ac:dyDescent="0.25">
      <c r="A5325" s="1"/>
      <c r="B5325"/>
      <c r="C5325"/>
      <c r="D5325"/>
      <c r="E5325"/>
      <c r="F5325"/>
      <c r="G5325"/>
      <c r="H5325"/>
      <c r="I5325"/>
      <c r="J5325"/>
      <c r="K5325"/>
      <c r="L5325"/>
      <c r="M5325"/>
      <c r="N5325"/>
      <c r="O5325"/>
      <c r="P5325"/>
      <c r="Q5325"/>
      <c r="R5325"/>
      <c r="S5325"/>
    </row>
    <row r="5326" spans="1:19" x14ac:dyDescent="0.25">
      <c r="A5326" s="1"/>
      <c r="B5326"/>
      <c r="C5326"/>
      <c r="D5326"/>
      <c r="E5326"/>
      <c r="F5326"/>
      <c r="G5326"/>
      <c r="H5326"/>
      <c r="I5326"/>
      <c r="J5326"/>
      <c r="K5326"/>
      <c r="L5326"/>
      <c r="M5326"/>
      <c r="N5326"/>
      <c r="O5326"/>
      <c r="P5326"/>
      <c r="Q5326"/>
      <c r="R5326"/>
      <c r="S5326"/>
    </row>
    <row r="5327" spans="1:19" x14ac:dyDescent="0.25">
      <c r="A5327" s="1"/>
      <c r="B5327"/>
      <c r="C5327"/>
      <c r="D5327"/>
      <c r="E5327"/>
      <c r="F5327"/>
      <c r="G5327"/>
      <c r="H5327"/>
      <c r="I5327"/>
      <c r="J5327"/>
      <c r="K5327"/>
      <c r="L5327"/>
      <c r="M5327"/>
      <c r="N5327"/>
      <c r="O5327"/>
      <c r="P5327"/>
      <c r="Q5327"/>
      <c r="R5327"/>
      <c r="S5327"/>
    </row>
    <row r="5328" spans="1:19" x14ac:dyDescent="0.25">
      <c r="A5328" s="1"/>
      <c r="B5328"/>
      <c r="C5328"/>
      <c r="D5328"/>
      <c r="E5328"/>
      <c r="F5328"/>
      <c r="G5328"/>
      <c r="H5328"/>
      <c r="I5328"/>
      <c r="J5328"/>
      <c r="K5328"/>
      <c r="L5328"/>
      <c r="M5328"/>
      <c r="N5328"/>
      <c r="O5328"/>
      <c r="P5328"/>
      <c r="Q5328"/>
      <c r="R5328"/>
      <c r="S5328"/>
    </row>
    <row r="5329" spans="1:19" x14ac:dyDescent="0.25">
      <c r="A5329" s="1"/>
      <c r="B5329"/>
      <c r="C5329"/>
      <c r="D5329"/>
      <c r="E5329"/>
      <c r="F5329"/>
      <c r="G5329"/>
      <c r="H5329"/>
      <c r="I5329"/>
      <c r="J5329"/>
      <c r="K5329"/>
      <c r="L5329"/>
      <c r="M5329"/>
      <c r="N5329"/>
      <c r="O5329"/>
      <c r="P5329"/>
      <c r="Q5329"/>
      <c r="R5329"/>
      <c r="S5329"/>
    </row>
    <row r="5330" spans="1:19" x14ac:dyDescent="0.25">
      <c r="A5330" s="1"/>
      <c r="B5330"/>
      <c r="C5330"/>
      <c r="D5330"/>
      <c r="E5330"/>
      <c r="F5330"/>
      <c r="G5330"/>
      <c r="H5330"/>
      <c r="I5330"/>
      <c r="J5330"/>
      <c r="K5330"/>
      <c r="L5330"/>
      <c r="M5330"/>
      <c r="N5330"/>
      <c r="O5330"/>
      <c r="P5330"/>
      <c r="Q5330"/>
      <c r="R5330"/>
      <c r="S5330"/>
    </row>
    <row r="5331" spans="1:19" x14ac:dyDescent="0.25">
      <c r="A5331" s="1"/>
      <c r="B5331"/>
      <c r="C5331"/>
      <c r="D5331"/>
      <c r="E5331"/>
      <c r="F5331"/>
      <c r="G5331"/>
      <c r="H5331"/>
      <c r="I5331"/>
      <c r="J5331"/>
      <c r="K5331"/>
      <c r="L5331"/>
      <c r="M5331"/>
      <c r="N5331"/>
      <c r="O5331"/>
      <c r="P5331"/>
      <c r="Q5331"/>
      <c r="R5331"/>
      <c r="S5331"/>
    </row>
    <row r="5332" spans="1:19" x14ac:dyDescent="0.25">
      <c r="A5332" s="1"/>
      <c r="B5332"/>
      <c r="C5332"/>
      <c r="D5332"/>
      <c r="E5332"/>
      <c r="F5332"/>
      <c r="G5332"/>
      <c r="H5332"/>
      <c r="I5332"/>
      <c r="J5332"/>
      <c r="K5332"/>
      <c r="L5332"/>
      <c r="M5332"/>
      <c r="N5332"/>
      <c r="O5332"/>
      <c r="P5332"/>
      <c r="Q5332"/>
      <c r="R5332"/>
      <c r="S5332"/>
    </row>
    <row r="5333" spans="1:19" x14ac:dyDescent="0.25">
      <c r="A5333" s="1"/>
      <c r="B5333"/>
      <c r="C5333"/>
      <c r="D5333"/>
      <c r="E5333"/>
      <c r="F5333"/>
      <c r="G5333"/>
      <c r="H5333"/>
      <c r="I5333"/>
      <c r="J5333"/>
      <c r="K5333"/>
      <c r="L5333"/>
      <c r="M5333"/>
      <c r="N5333"/>
      <c r="O5333"/>
      <c r="P5333"/>
      <c r="Q5333"/>
      <c r="R5333"/>
      <c r="S5333"/>
    </row>
    <row r="5334" spans="1:19" x14ac:dyDescent="0.25">
      <c r="A5334" s="1"/>
      <c r="B5334"/>
      <c r="C5334"/>
      <c r="D5334"/>
      <c r="E5334"/>
      <c r="F5334"/>
      <c r="G5334"/>
      <c r="H5334"/>
      <c r="I5334"/>
      <c r="J5334"/>
      <c r="K5334"/>
      <c r="L5334"/>
      <c r="M5334"/>
      <c r="N5334"/>
      <c r="O5334"/>
      <c r="P5334"/>
      <c r="Q5334"/>
      <c r="R5334"/>
      <c r="S5334"/>
    </row>
    <row r="5335" spans="1:19" x14ac:dyDescent="0.25">
      <c r="A5335" s="1"/>
      <c r="B5335"/>
      <c r="C5335"/>
      <c r="D5335"/>
      <c r="E5335"/>
      <c r="F5335"/>
      <c r="G5335"/>
      <c r="H5335"/>
      <c r="I5335"/>
      <c r="J5335"/>
      <c r="K5335"/>
      <c r="L5335"/>
      <c r="M5335"/>
      <c r="N5335"/>
      <c r="O5335"/>
      <c r="P5335"/>
      <c r="Q5335"/>
      <c r="R5335"/>
      <c r="S5335"/>
    </row>
    <row r="5336" spans="1:19" x14ac:dyDescent="0.25">
      <c r="A5336" s="1"/>
      <c r="B5336"/>
      <c r="C5336"/>
      <c r="D5336"/>
      <c r="E5336"/>
      <c r="F5336"/>
      <c r="G5336"/>
      <c r="H5336"/>
      <c r="I5336"/>
      <c r="J5336"/>
      <c r="K5336"/>
      <c r="L5336"/>
      <c r="M5336"/>
      <c r="N5336"/>
      <c r="O5336"/>
      <c r="P5336"/>
      <c r="Q5336"/>
      <c r="R5336"/>
      <c r="S5336"/>
    </row>
    <row r="5337" spans="1:19" x14ac:dyDescent="0.25">
      <c r="A5337" s="1"/>
      <c r="B5337"/>
      <c r="C5337"/>
      <c r="D5337"/>
      <c r="E5337"/>
      <c r="F5337"/>
      <c r="G5337"/>
      <c r="H5337"/>
      <c r="I5337"/>
      <c r="J5337"/>
      <c r="K5337"/>
      <c r="L5337"/>
      <c r="M5337"/>
      <c r="N5337"/>
      <c r="O5337"/>
      <c r="P5337"/>
      <c r="Q5337"/>
      <c r="R5337"/>
      <c r="S5337"/>
    </row>
    <row r="5338" spans="1:19" x14ac:dyDescent="0.25">
      <c r="A5338" s="1"/>
      <c r="B5338"/>
      <c r="C5338"/>
      <c r="D5338"/>
      <c r="E5338"/>
      <c r="F5338"/>
      <c r="G5338"/>
      <c r="H5338"/>
      <c r="I5338"/>
      <c r="J5338"/>
      <c r="K5338"/>
      <c r="L5338"/>
      <c r="M5338"/>
      <c r="N5338"/>
      <c r="O5338"/>
      <c r="P5338"/>
      <c r="Q5338"/>
      <c r="R5338"/>
      <c r="S5338"/>
    </row>
    <row r="5339" spans="1:19" x14ac:dyDescent="0.25">
      <c r="A5339" s="1"/>
      <c r="B5339"/>
      <c r="C5339"/>
      <c r="D5339"/>
      <c r="E5339"/>
      <c r="F5339"/>
      <c r="G5339"/>
      <c r="H5339"/>
      <c r="I5339"/>
      <c r="J5339"/>
      <c r="K5339"/>
      <c r="L5339"/>
      <c r="M5339"/>
      <c r="N5339"/>
      <c r="O5339"/>
      <c r="P5339"/>
      <c r="Q5339"/>
      <c r="R5339"/>
      <c r="S5339"/>
    </row>
    <row r="5340" spans="1:19" x14ac:dyDescent="0.25">
      <c r="A5340" s="1"/>
      <c r="B5340"/>
      <c r="C5340"/>
      <c r="D5340"/>
      <c r="E5340"/>
      <c r="F5340"/>
      <c r="G5340"/>
      <c r="H5340"/>
      <c r="I5340"/>
      <c r="J5340"/>
      <c r="K5340"/>
      <c r="L5340"/>
      <c r="M5340"/>
      <c r="N5340"/>
      <c r="O5340"/>
      <c r="P5340"/>
      <c r="Q5340"/>
      <c r="R5340"/>
      <c r="S5340"/>
    </row>
    <row r="5341" spans="1:19" x14ac:dyDescent="0.25">
      <c r="A5341" s="1"/>
      <c r="B5341"/>
      <c r="C5341"/>
      <c r="D5341"/>
      <c r="E5341"/>
      <c r="F5341"/>
      <c r="G5341"/>
      <c r="H5341"/>
      <c r="I5341"/>
      <c r="J5341"/>
      <c r="K5341"/>
      <c r="L5341"/>
      <c r="M5341"/>
      <c r="N5341"/>
      <c r="O5341"/>
      <c r="P5341"/>
      <c r="Q5341"/>
      <c r="R5341"/>
      <c r="S5341"/>
    </row>
    <row r="5342" spans="1:19" x14ac:dyDescent="0.25">
      <c r="A5342" s="1"/>
      <c r="B5342"/>
      <c r="C5342"/>
      <c r="D5342"/>
      <c r="E5342"/>
      <c r="F5342"/>
      <c r="G5342"/>
      <c r="H5342"/>
      <c r="I5342"/>
      <c r="J5342"/>
      <c r="K5342"/>
      <c r="L5342"/>
      <c r="M5342"/>
      <c r="N5342"/>
      <c r="O5342"/>
      <c r="P5342"/>
      <c r="Q5342"/>
      <c r="R5342"/>
      <c r="S5342"/>
    </row>
    <row r="5343" spans="1:19" x14ac:dyDescent="0.25">
      <c r="A5343" s="1"/>
      <c r="B5343"/>
      <c r="C5343"/>
      <c r="D5343"/>
      <c r="E5343"/>
      <c r="F5343"/>
      <c r="G5343"/>
      <c r="H5343"/>
      <c r="I5343"/>
      <c r="J5343"/>
      <c r="K5343"/>
      <c r="L5343"/>
      <c r="M5343"/>
      <c r="N5343"/>
      <c r="O5343"/>
      <c r="P5343"/>
      <c r="Q5343"/>
      <c r="R5343"/>
      <c r="S5343"/>
    </row>
    <row r="5344" spans="1:19" x14ac:dyDescent="0.25">
      <c r="A5344" s="1"/>
      <c r="B5344"/>
      <c r="C5344"/>
      <c r="D5344"/>
      <c r="E5344"/>
      <c r="F5344"/>
      <c r="G5344"/>
      <c r="H5344"/>
      <c r="I5344"/>
      <c r="J5344"/>
      <c r="K5344"/>
      <c r="L5344"/>
      <c r="M5344"/>
      <c r="N5344"/>
      <c r="O5344"/>
      <c r="P5344"/>
      <c r="Q5344"/>
      <c r="R5344"/>
      <c r="S5344"/>
    </row>
    <row r="5345" spans="1:19" x14ac:dyDescent="0.25">
      <c r="A5345" s="1"/>
      <c r="B5345"/>
      <c r="C5345"/>
      <c r="D5345"/>
      <c r="E5345"/>
      <c r="F5345"/>
      <c r="G5345"/>
      <c r="H5345"/>
      <c r="I5345"/>
      <c r="J5345"/>
      <c r="K5345"/>
      <c r="L5345"/>
      <c r="M5345"/>
      <c r="N5345"/>
      <c r="O5345"/>
      <c r="P5345"/>
      <c r="Q5345"/>
      <c r="R5345"/>
      <c r="S5345"/>
    </row>
    <row r="5346" spans="1:19" x14ac:dyDescent="0.25">
      <c r="A5346" s="1"/>
      <c r="B5346"/>
      <c r="C5346"/>
      <c r="D5346"/>
      <c r="E5346"/>
      <c r="F5346"/>
      <c r="G5346"/>
      <c r="H5346"/>
      <c r="I5346"/>
      <c r="J5346"/>
      <c r="K5346"/>
      <c r="L5346"/>
      <c r="M5346"/>
      <c r="N5346"/>
      <c r="O5346"/>
      <c r="P5346"/>
      <c r="Q5346"/>
      <c r="R5346"/>
      <c r="S5346"/>
    </row>
    <row r="5347" spans="1:19" x14ac:dyDescent="0.25">
      <c r="A5347" s="1"/>
      <c r="B5347"/>
      <c r="C5347"/>
      <c r="D5347"/>
      <c r="E5347"/>
      <c r="F5347"/>
      <c r="G5347"/>
      <c r="H5347"/>
      <c r="I5347"/>
      <c r="J5347"/>
      <c r="K5347"/>
      <c r="L5347"/>
      <c r="M5347"/>
      <c r="N5347"/>
      <c r="O5347"/>
      <c r="P5347"/>
      <c r="Q5347"/>
      <c r="R5347"/>
      <c r="S5347"/>
    </row>
    <row r="5348" spans="1:19" x14ac:dyDescent="0.25">
      <c r="A5348" s="1"/>
      <c r="B5348"/>
      <c r="C5348"/>
      <c r="D5348"/>
      <c r="E5348"/>
      <c r="F5348"/>
      <c r="G5348"/>
      <c r="H5348"/>
      <c r="I5348"/>
      <c r="J5348"/>
      <c r="K5348"/>
      <c r="L5348"/>
      <c r="M5348"/>
      <c r="N5348"/>
      <c r="O5348"/>
      <c r="P5348"/>
      <c r="Q5348"/>
      <c r="R5348"/>
      <c r="S5348"/>
    </row>
    <row r="5349" spans="1:19" x14ac:dyDescent="0.25">
      <c r="A5349" s="1"/>
      <c r="B5349"/>
      <c r="C5349"/>
      <c r="D5349"/>
      <c r="E5349"/>
      <c r="F5349"/>
      <c r="G5349"/>
      <c r="H5349"/>
      <c r="I5349"/>
      <c r="J5349"/>
      <c r="K5349"/>
      <c r="L5349"/>
      <c r="M5349"/>
      <c r="N5349"/>
      <c r="O5349"/>
      <c r="P5349"/>
      <c r="Q5349"/>
      <c r="R5349"/>
      <c r="S5349"/>
    </row>
    <row r="5350" spans="1:19" x14ac:dyDescent="0.25">
      <c r="A5350" s="1"/>
      <c r="B5350"/>
      <c r="C5350"/>
      <c r="D5350"/>
      <c r="E5350"/>
      <c r="F5350"/>
      <c r="G5350"/>
      <c r="H5350"/>
      <c r="I5350"/>
      <c r="J5350"/>
      <c r="K5350"/>
      <c r="L5350"/>
      <c r="M5350"/>
      <c r="N5350"/>
      <c r="O5350"/>
      <c r="P5350"/>
      <c r="Q5350"/>
      <c r="R5350"/>
      <c r="S5350"/>
    </row>
    <row r="5351" spans="1:19" x14ac:dyDescent="0.25">
      <c r="A5351" s="1"/>
      <c r="B5351"/>
      <c r="C5351"/>
      <c r="D5351"/>
      <c r="E5351"/>
      <c r="F5351"/>
      <c r="G5351"/>
      <c r="H5351"/>
      <c r="I5351"/>
      <c r="J5351"/>
      <c r="K5351"/>
      <c r="L5351"/>
      <c r="M5351"/>
      <c r="N5351"/>
      <c r="O5351"/>
      <c r="P5351"/>
      <c r="Q5351"/>
      <c r="R5351"/>
      <c r="S5351"/>
    </row>
    <row r="5352" spans="1:19" x14ac:dyDescent="0.25">
      <c r="A5352" s="1"/>
      <c r="B5352"/>
      <c r="C5352"/>
      <c r="D5352"/>
      <c r="E5352"/>
      <c r="F5352"/>
      <c r="G5352"/>
      <c r="H5352"/>
      <c r="I5352"/>
      <c r="J5352"/>
      <c r="K5352"/>
      <c r="L5352"/>
      <c r="M5352"/>
      <c r="N5352"/>
      <c r="O5352"/>
      <c r="P5352"/>
      <c r="Q5352"/>
      <c r="R5352"/>
      <c r="S5352"/>
    </row>
    <row r="5353" spans="1:19" x14ac:dyDescent="0.25">
      <c r="A5353" s="1"/>
      <c r="B5353"/>
      <c r="C5353"/>
      <c r="D5353"/>
      <c r="E5353"/>
      <c r="F5353"/>
      <c r="G5353"/>
      <c r="H5353"/>
      <c r="I5353"/>
      <c r="J5353"/>
      <c r="K5353"/>
      <c r="L5353"/>
      <c r="M5353"/>
      <c r="N5353"/>
      <c r="O5353"/>
      <c r="P5353"/>
      <c r="Q5353"/>
      <c r="R5353"/>
      <c r="S5353"/>
    </row>
    <row r="5354" spans="1:19" x14ac:dyDescent="0.25">
      <c r="A5354" s="1"/>
      <c r="B5354"/>
      <c r="C5354"/>
      <c r="D5354"/>
      <c r="E5354"/>
      <c r="F5354"/>
      <c r="G5354"/>
      <c r="H5354"/>
      <c r="I5354"/>
      <c r="J5354"/>
      <c r="K5354"/>
      <c r="L5354"/>
      <c r="M5354"/>
      <c r="N5354"/>
      <c r="O5354"/>
      <c r="P5354"/>
      <c r="Q5354"/>
      <c r="R5354"/>
      <c r="S5354"/>
    </row>
    <row r="5355" spans="1:19" x14ac:dyDescent="0.25">
      <c r="A5355" s="1"/>
      <c r="B5355"/>
      <c r="C5355"/>
      <c r="D5355"/>
      <c r="E5355"/>
      <c r="F5355"/>
      <c r="G5355"/>
      <c r="H5355"/>
      <c r="I5355"/>
      <c r="J5355"/>
      <c r="K5355"/>
      <c r="L5355"/>
      <c r="M5355"/>
      <c r="N5355"/>
      <c r="O5355"/>
      <c r="P5355"/>
      <c r="Q5355"/>
      <c r="R5355"/>
      <c r="S5355"/>
    </row>
    <row r="5356" spans="1:19" x14ac:dyDescent="0.25">
      <c r="A5356" s="1"/>
      <c r="B5356"/>
      <c r="C5356"/>
      <c r="D5356"/>
      <c r="E5356"/>
      <c r="F5356"/>
      <c r="G5356"/>
      <c r="H5356"/>
      <c r="I5356"/>
      <c r="J5356"/>
      <c r="K5356"/>
      <c r="L5356"/>
      <c r="M5356"/>
      <c r="N5356"/>
      <c r="O5356"/>
      <c r="P5356"/>
      <c r="Q5356"/>
      <c r="R5356"/>
      <c r="S5356"/>
    </row>
    <row r="5357" spans="1:19" x14ac:dyDescent="0.25">
      <c r="A5357" s="1"/>
      <c r="B5357"/>
      <c r="C5357"/>
      <c r="D5357"/>
      <c r="E5357"/>
      <c r="F5357"/>
      <c r="G5357"/>
      <c r="H5357"/>
      <c r="I5357"/>
      <c r="J5357"/>
      <c r="K5357"/>
      <c r="L5357"/>
      <c r="M5357"/>
      <c r="N5357"/>
      <c r="O5357"/>
      <c r="P5357"/>
      <c r="Q5357"/>
      <c r="R5357"/>
      <c r="S5357"/>
    </row>
    <row r="5358" spans="1:19" x14ac:dyDescent="0.25">
      <c r="A5358" s="1"/>
      <c r="B5358"/>
      <c r="C5358"/>
      <c r="D5358"/>
      <c r="E5358"/>
      <c r="F5358"/>
      <c r="G5358"/>
      <c r="H5358"/>
      <c r="I5358"/>
      <c r="J5358"/>
      <c r="K5358"/>
      <c r="L5358"/>
      <c r="M5358"/>
      <c r="N5358"/>
      <c r="O5358"/>
      <c r="P5358"/>
      <c r="Q5358"/>
      <c r="R5358"/>
      <c r="S5358"/>
    </row>
    <row r="5359" spans="1:19" x14ac:dyDescent="0.25">
      <c r="A5359" s="1"/>
      <c r="B5359"/>
      <c r="C5359"/>
      <c r="D5359"/>
      <c r="E5359"/>
      <c r="F5359"/>
      <c r="G5359"/>
      <c r="H5359"/>
      <c r="I5359"/>
      <c r="J5359"/>
      <c r="K5359"/>
      <c r="L5359"/>
      <c r="M5359"/>
      <c r="N5359"/>
      <c r="O5359"/>
      <c r="P5359"/>
      <c r="Q5359"/>
      <c r="R5359"/>
      <c r="S5359"/>
    </row>
    <row r="5360" spans="1:19" x14ac:dyDescent="0.25">
      <c r="A5360" s="1"/>
      <c r="B5360"/>
      <c r="C5360"/>
      <c r="D5360"/>
      <c r="E5360"/>
      <c r="F5360"/>
      <c r="G5360"/>
      <c r="H5360"/>
      <c r="I5360"/>
      <c r="J5360"/>
      <c r="K5360"/>
      <c r="L5360"/>
      <c r="M5360"/>
      <c r="N5360"/>
      <c r="O5360"/>
      <c r="P5360"/>
      <c r="Q5360"/>
      <c r="R5360"/>
      <c r="S5360"/>
    </row>
    <row r="5361" spans="1:19" x14ac:dyDescent="0.25">
      <c r="A5361" s="1"/>
      <c r="B5361"/>
      <c r="C5361"/>
      <c r="D5361"/>
      <c r="E5361"/>
      <c r="F5361"/>
      <c r="G5361"/>
      <c r="H5361"/>
      <c r="I5361"/>
      <c r="J5361"/>
      <c r="K5361"/>
      <c r="L5361"/>
      <c r="M5361"/>
      <c r="N5361"/>
      <c r="O5361"/>
      <c r="P5361"/>
      <c r="Q5361"/>
      <c r="R5361"/>
      <c r="S5361"/>
    </row>
    <row r="5362" spans="1:19" x14ac:dyDescent="0.25">
      <c r="A5362" s="1"/>
      <c r="B5362"/>
      <c r="C5362"/>
      <c r="D5362"/>
      <c r="E5362"/>
      <c r="F5362"/>
      <c r="G5362"/>
      <c r="H5362"/>
      <c r="I5362"/>
      <c r="J5362"/>
      <c r="K5362"/>
      <c r="L5362"/>
      <c r="M5362"/>
      <c r="N5362"/>
      <c r="O5362"/>
      <c r="P5362"/>
      <c r="Q5362"/>
      <c r="R5362"/>
      <c r="S5362"/>
    </row>
    <row r="5363" spans="1:19" x14ac:dyDescent="0.25">
      <c r="A5363" s="1"/>
      <c r="B5363"/>
      <c r="C5363"/>
      <c r="D5363"/>
      <c r="E5363"/>
      <c r="F5363"/>
      <c r="G5363"/>
      <c r="H5363"/>
      <c r="I5363"/>
      <c r="J5363"/>
      <c r="K5363"/>
      <c r="L5363"/>
      <c r="M5363"/>
      <c r="N5363"/>
      <c r="O5363"/>
      <c r="P5363"/>
      <c r="Q5363"/>
      <c r="R5363"/>
      <c r="S5363"/>
    </row>
    <row r="5364" spans="1:19" x14ac:dyDescent="0.25">
      <c r="A5364" s="1"/>
      <c r="B5364"/>
      <c r="C5364"/>
      <c r="D5364"/>
      <c r="E5364"/>
      <c r="F5364"/>
      <c r="G5364"/>
      <c r="H5364"/>
      <c r="I5364"/>
      <c r="J5364"/>
      <c r="K5364"/>
      <c r="L5364"/>
      <c r="M5364"/>
      <c r="N5364"/>
      <c r="O5364"/>
      <c r="P5364"/>
      <c r="Q5364"/>
      <c r="R5364"/>
      <c r="S5364"/>
    </row>
    <row r="5365" spans="1:19" x14ac:dyDescent="0.25">
      <c r="A5365" s="1"/>
      <c r="B5365"/>
      <c r="C5365"/>
      <c r="D5365"/>
      <c r="E5365"/>
      <c r="F5365"/>
      <c r="G5365"/>
      <c r="H5365"/>
      <c r="I5365"/>
      <c r="J5365"/>
      <c r="K5365"/>
      <c r="L5365"/>
      <c r="M5365"/>
      <c r="N5365"/>
      <c r="O5365"/>
      <c r="P5365"/>
      <c r="Q5365"/>
      <c r="R5365"/>
      <c r="S5365"/>
    </row>
    <row r="5366" spans="1:19" x14ac:dyDescent="0.25">
      <c r="A5366" s="1"/>
      <c r="B5366"/>
      <c r="C5366"/>
      <c r="D5366"/>
      <c r="E5366"/>
      <c r="F5366"/>
      <c r="G5366"/>
      <c r="H5366"/>
      <c r="I5366"/>
      <c r="J5366"/>
      <c r="K5366"/>
      <c r="L5366"/>
      <c r="M5366"/>
      <c r="N5366"/>
      <c r="O5366"/>
      <c r="P5366"/>
      <c r="Q5366"/>
      <c r="R5366"/>
      <c r="S5366"/>
    </row>
    <row r="5367" spans="1:19" x14ac:dyDescent="0.25">
      <c r="A5367" s="1"/>
      <c r="B5367"/>
      <c r="C5367"/>
      <c r="D5367"/>
      <c r="E5367"/>
      <c r="F5367"/>
      <c r="G5367"/>
      <c r="H5367"/>
      <c r="I5367"/>
      <c r="J5367"/>
      <c r="K5367"/>
      <c r="L5367"/>
      <c r="M5367"/>
      <c r="N5367"/>
      <c r="O5367"/>
      <c r="P5367"/>
      <c r="Q5367"/>
      <c r="R5367"/>
      <c r="S5367"/>
    </row>
    <row r="5368" spans="1:19" x14ac:dyDescent="0.25">
      <c r="A5368" s="1"/>
      <c r="B5368"/>
      <c r="C5368"/>
      <c r="D5368"/>
      <c r="E5368"/>
      <c r="F5368"/>
      <c r="G5368"/>
      <c r="H5368"/>
      <c r="I5368"/>
      <c r="J5368"/>
      <c r="K5368"/>
      <c r="L5368"/>
      <c r="M5368"/>
      <c r="N5368"/>
      <c r="O5368"/>
      <c r="P5368"/>
      <c r="Q5368"/>
      <c r="R5368"/>
      <c r="S5368"/>
    </row>
    <row r="5369" spans="1:19" x14ac:dyDescent="0.25">
      <c r="A5369" s="1"/>
      <c r="B5369"/>
      <c r="C5369"/>
      <c r="D5369"/>
      <c r="E5369"/>
      <c r="F5369"/>
      <c r="G5369"/>
      <c r="H5369"/>
      <c r="I5369"/>
      <c r="J5369"/>
      <c r="K5369"/>
      <c r="L5369"/>
      <c r="M5369"/>
      <c r="N5369"/>
      <c r="O5369"/>
      <c r="P5369"/>
      <c r="Q5369"/>
      <c r="R5369"/>
      <c r="S5369"/>
    </row>
    <row r="5370" spans="1:19" x14ac:dyDescent="0.25">
      <c r="A5370" s="1"/>
      <c r="B5370"/>
      <c r="C5370"/>
      <c r="D5370"/>
      <c r="E5370"/>
      <c r="F5370"/>
      <c r="G5370"/>
      <c r="H5370"/>
      <c r="I5370"/>
      <c r="J5370"/>
      <c r="K5370"/>
      <c r="L5370"/>
      <c r="M5370"/>
      <c r="N5370"/>
      <c r="O5370"/>
      <c r="P5370"/>
      <c r="Q5370"/>
      <c r="R5370"/>
      <c r="S5370"/>
    </row>
    <row r="5371" spans="1:19" x14ac:dyDescent="0.25">
      <c r="A5371" s="1"/>
      <c r="B5371"/>
      <c r="C5371"/>
      <c r="D5371"/>
      <c r="E5371"/>
      <c r="F5371"/>
      <c r="G5371"/>
      <c r="H5371"/>
      <c r="I5371"/>
      <c r="J5371"/>
      <c r="K5371"/>
      <c r="L5371"/>
      <c r="M5371"/>
      <c r="N5371"/>
      <c r="O5371"/>
      <c r="P5371"/>
      <c r="Q5371"/>
      <c r="R5371"/>
      <c r="S5371"/>
    </row>
    <row r="5372" spans="1:19" x14ac:dyDescent="0.25">
      <c r="A5372" s="1"/>
      <c r="B5372"/>
      <c r="C5372"/>
      <c r="D5372"/>
      <c r="E5372"/>
      <c r="F5372"/>
      <c r="G5372"/>
      <c r="H5372"/>
      <c r="I5372"/>
      <c r="J5372"/>
      <c r="K5372"/>
      <c r="L5372"/>
      <c r="M5372"/>
      <c r="N5372"/>
      <c r="O5372"/>
      <c r="P5372"/>
      <c r="Q5372"/>
      <c r="R5372"/>
      <c r="S5372"/>
    </row>
    <row r="5373" spans="1:19" x14ac:dyDescent="0.25">
      <c r="A5373" s="1"/>
      <c r="B5373"/>
      <c r="C5373"/>
      <c r="D5373"/>
      <c r="E5373"/>
      <c r="F5373"/>
      <c r="G5373"/>
      <c r="H5373"/>
      <c r="I5373"/>
      <c r="J5373"/>
      <c r="K5373"/>
      <c r="L5373"/>
      <c r="M5373"/>
      <c r="N5373"/>
      <c r="O5373"/>
      <c r="P5373"/>
      <c r="Q5373"/>
      <c r="R5373"/>
      <c r="S5373"/>
    </row>
    <row r="5374" spans="1:19" x14ac:dyDescent="0.25">
      <c r="A5374" s="1"/>
      <c r="B5374"/>
      <c r="C5374"/>
      <c r="D5374"/>
      <c r="E5374"/>
      <c r="F5374"/>
      <c r="G5374"/>
      <c r="H5374"/>
      <c r="I5374"/>
      <c r="J5374"/>
      <c r="K5374"/>
      <c r="L5374"/>
      <c r="M5374"/>
      <c r="N5374"/>
      <c r="O5374"/>
      <c r="P5374"/>
      <c r="Q5374"/>
      <c r="R5374"/>
      <c r="S5374"/>
    </row>
    <row r="5375" spans="1:19" x14ac:dyDescent="0.25">
      <c r="A5375" s="1"/>
      <c r="B5375"/>
      <c r="C5375"/>
      <c r="D5375"/>
      <c r="E5375"/>
      <c r="F5375"/>
      <c r="G5375"/>
      <c r="H5375"/>
      <c r="I5375"/>
      <c r="J5375"/>
      <c r="K5375"/>
      <c r="L5375"/>
      <c r="M5375"/>
      <c r="N5375"/>
      <c r="O5375"/>
      <c r="P5375"/>
      <c r="Q5375"/>
      <c r="R5375"/>
      <c r="S5375"/>
    </row>
    <row r="5376" spans="1:19" x14ac:dyDescent="0.25">
      <c r="A5376" s="1"/>
      <c r="B5376"/>
      <c r="C5376"/>
      <c r="D5376"/>
      <c r="E5376"/>
      <c r="F5376"/>
      <c r="G5376"/>
      <c r="H5376"/>
      <c r="I5376"/>
      <c r="J5376"/>
      <c r="K5376"/>
      <c r="L5376"/>
      <c r="M5376"/>
      <c r="N5376"/>
      <c r="O5376"/>
      <c r="P5376"/>
      <c r="Q5376"/>
      <c r="R5376"/>
      <c r="S5376"/>
    </row>
    <row r="5377" spans="1:19" x14ac:dyDescent="0.25">
      <c r="A5377" s="1"/>
      <c r="B5377"/>
      <c r="C5377"/>
      <c r="D5377"/>
      <c r="E5377"/>
      <c r="F5377"/>
      <c r="G5377"/>
      <c r="H5377"/>
      <c r="I5377"/>
      <c r="J5377"/>
      <c r="K5377"/>
      <c r="L5377"/>
      <c r="M5377"/>
      <c r="N5377"/>
      <c r="O5377"/>
      <c r="P5377"/>
      <c r="Q5377"/>
      <c r="R5377"/>
      <c r="S5377"/>
    </row>
    <row r="5378" spans="1:19" x14ac:dyDescent="0.25">
      <c r="A5378" s="1"/>
      <c r="B5378"/>
      <c r="C5378"/>
      <c r="D5378"/>
      <c r="E5378"/>
      <c r="F5378"/>
      <c r="G5378"/>
      <c r="H5378"/>
      <c r="I5378"/>
      <c r="J5378"/>
      <c r="K5378"/>
      <c r="L5378"/>
      <c r="M5378"/>
      <c r="N5378"/>
      <c r="O5378"/>
      <c r="P5378"/>
      <c r="Q5378"/>
      <c r="R5378"/>
      <c r="S5378"/>
    </row>
    <row r="5379" spans="1:19" x14ac:dyDescent="0.25">
      <c r="A5379" s="1"/>
      <c r="B5379"/>
      <c r="C5379"/>
      <c r="D5379"/>
      <c r="E5379"/>
      <c r="F5379"/>
      <c r="G5379"/>
      <c r="H5379"/>
      <c r="I5379"/>
      <c r="J5379"/>
      <c r="K5379"/>
      <c r="L5379"/>
      <c r="M5379"/>
      <c r="N5379"/>
      <c r="O5379"/>
      <c r="P5379"/>
      <c r="Q5379"/>
      <c r="R5379"/>
      <c r="S5379"/>
    </row>
    <row r="5380" spans="1:19" x14ac:dyDescent="0.25">
      <c r="A5380" s="1"/>
      <c r="B5380"/>
      <c r="C5380"/>
      <c r="D5380"/>
      <c r="E5380"/>
      <c r="F5380"/>
      <c r="G5380"/>
      <c r="H5380"/>
      <c r="I5380"/>
      <c r="J5380"/>
      <c r="K5380"/>
      <c r="L5380"/>
      <c r="M5380"/>
      <c r="N5380"/>
      <c r="O5380"/>
      <c r="P5380"/>
      <c r="Q5380"/>
      <c r="R5380"/>
      <c r="S5380"/>
    </row>
    <row r="5381" spans="1:19" x14ac:dyDescent="0.25">
      <c r="A5381" s="1"/>
      <c r="B5381"/>
      <c r="C5381"/>
      <c r="D5381"/>
      <c r="E5381"/>
      <c r="F5381"/>
      <c r="G5381"/>
      <c r="H5381"/>
      <c r="I5381"/>
      <c r="J5381"/>
      <c r="K5381"/>
      <c r="L5381"/>
      <c r="M5381"/>
      <c r="N5381"/>
      <c r="O5381"/>
      <c r="P5381"/>
      <c r="Q5381"/>
      <c r="R5381"/>
      <c r="S5381"/>
    </row>
    <row r="5382" spans="1:19" x14ac:dyDescent="0.25">
      <c r="A5382" s="1"/>
      <c r="B5382"/>
      <c r="C5382"/>
      <c r="D5382"/>
      <c r="E5382"/>
      <c r="F5382"/>
      <c r="G5382"/>
      <c r="H5382"/>
      <c r="I5382"/>
      <c r="J5382"/>
      <c r="K5382"/>
      <c r="L5382"/>
      <c r="M5382"/>
      <c r="N5382"/>
      <c r="O5382"/>
      <c r="P5382"/>
      <c r="Q5382"/>
      <c r="R5382"/>
      <c r="S5382"/>
    </row>
    <row r="5383" spans="1:19" x14ac:dyDescent="0.25">
      <c r="A5383" s="1"/>
      <c r="B5383"/>
      <c r="C5383"/>
      <c r="D5383"/>
      <c r="E5383"/>
      <c r="F5383"/>
      <c r="G5383"/>
      <c r="H5383"/>
      <c r="I5383"/>
      <c r="J5383"/>
      <c r="K5383"/>
      <c r="L5383"/>
      <c r="M5383"/>
      <c r="N5383"/>
      <c r="O5383"/>
      <c r="P5383"/>
      <c r="Q5383"/>
      <c r="R5383"/>
      <c r="S5383"/>
    </row>
    <row r="5384" spans="1:19" x14ac:dyDescent="0.25">
      <c r="A5384" s="1"/>
      <c r="B5384"/>
      <c r="C5384"/>
      <c r="D5384"/>
      <c r="E5384"/>
      <c r="F5384"/>
      <c r="G5384"/>
      <c r="H5384"/>
      <c r="I5384"/>
      <c r="J5384"/>
      <c r="K5384"/>
      <c r="L5384"/>
      <c r="M5384"/>
      <c r="N5384"/>
      <c r="O5384"/>
      <c r="P5384"/>
      <c r="Q5384"/>
      <c r="R5384"/>
      <c r="S5384"/>
    </row>
    <row r="5385" spans="1:19" x14ac:dyDescent="0.25">
      <c r="A5385" s="1"/>
      <c r="B5385"/>
      <c r="C5385"/>
      <c r="D5385"/>
      <c r="E5385"/>
      <c r="F5385"/>
      <c r="G5385"/>
      <c r="H5385"/>
      <c r="I5385"/>
      <c r="J5385"/>
      <c r="K5385"/>
      <c r="L5385"/>
      <c r="M5385"/>
      <c r="N5385"/>
      <c r="O5385"/>
      <c r="P5385"/>
      <c r="Q5385"/>
      <c r="R5385"/>
      <c r="S5385"/>
    </row>
    <row r="5386" spans="1:19" x14ac:dyDescent="0.25">
      <c r="A5386" s="1"/>
      <c r="B5386"/>
      <c r="C5386"/>
      <c r="D5386"/>
      <c r="E5386"/>
      <c r="F5386"/>
      <c r="G5386"/>
      <c r="H5386"/>
      <c r="I5386"/>
      <c r="J5386"/>
      <c r="K5386"/>
      <c r="L5386"/>
      <c r="M5386"/>
      <c r="N5386"/>
      <c r="O5386"/>
      <c r="P5386"/>
      <c r="Q5386"/>
      <c r="R5386"/>
      <c r="S5386"/>
    </row>
    <row r="5387" spans="1:19" x14ac:dyDescent="0.25">
      <c r="A5387" s="1"/>
      <c r="B5387"/>
      <c r="C5387"/>
      <c r="D5387"/>
      <c r="E5387"/>
      <c r="F5387"/>
      <c r="G5387"/>
      <c r="H5387"/>
      <c r="I5387"/>
      <c r="J5387"/>
      <c r="K5387"/>
      <c r="L5387"/>
      <c r="M5387"/>
      <c r="N5387"/>
      <c r="O5387"/>
      <c r="P5387"/>
      <c r="Q5387"/>
      <c r="R5387"/>
      <c r="S5387"/>
    </row>
    <row r="5388" spans="1:19" x14ac:dyDescent="0.25">
      <c r="A5388" s="1"/>
      <c r="B5388"/>
      <c r="C5388"/>
      <c r="D5388"/>
      <c r="E5388"/>
      <c r="F5388"/>
      <c r="G5388"/>
      <c r="H5388"/>
      <c r="I5388"/>
      <c r="J5388"/>
      <c r="K5388"/>
      <c r="L5388"/>
      <c r="M5388"/>
      <c r="N5388"/>
      <c r="O5388"/>
      <c r="P5388"/>
      <c r="Q5388"/>
      <c r="R5388"/>
      <c r="S5388"/>
    </row>
    <row r="5389" spans="1:19" x14ac:dyDescent="0.25">
      <c r="A5389" s="1"/>
      <c r="B5389"/>
      <c r="C5389"/>
      <c r="D5389"/>
      <c r="E5389"/>
      <c r="F5389"/>
      <c r="G5389"/>
      <c r="H5389"/>
      <c r="I5389"/>
      <c r="J5389"/>
      <c r="K5389"/>
      <c r="L5389"/>
      <c r="M5389"/>
      <c r="N5389"/>
      <c r="O5389"/>
      <c r="P5389"/>
      <c r="Q5389"/>
      <c r="R5389"/>
      <c r="S5389"/>
    </row>
    <row r="5390" spans="1:19" x14ac:dyDescent="0.25">
      <c r="A5390" s="1"/>
      <c r="B5390"/>
      <c r="C5390"/>
      <c r="D5390"/>
      <c r="E5390"/>
      <c r="F5390"/>
      <c r="G5390"/>
      <c r="H5390"/>
      <c r="I5390"/>
      <c r="J5390"/>
      <c r="K5390"/>
      <c r="L5390"/>
      <c r="M5390"/>
      <c r="N5390"/>
      <c r="O5390"/>
      <c r="P5390"/>
      <c r="Q5390"/>
      <c r="R5390"/>
      <c r="S5390"/>
    </row>
    <row r="5391" spans="1:19" x14ac:dyDescent="0.25">
      <c r="A5391" s="1"/>
      <c r="B5391"/>
      <c r="C5391"/>
      <c r="D5391"/>
      <c r="E5391"/>
      <c r="F5391"/>
      <c r="G5391"/>
      <c r="H5391"/>
      <c r="I5391"/>
      <c r="J5391"/>
      <c r="K5391"/>
      <c r="L5391"/>
      <c r="M5391"/>
      <c r="N5391"/>
      <c r="O5391"/>
      <c r="P5391"/>
      <c r="Q5391"/>
      <c r="R5391"/>
      <c r="S5391"/>
    </row>
    <row r="5392" spans="1:19" x14ac:dyDescent="0.25">
      <c r="A5392" s="1"/>
      <c r="B5392"/>
      <c r="C5392"/>
      <c r="D5392"/>
      <c r="E5392"/>
      <c r="F5392"/>
      <c r="G5392"/>
      <c r="H5392"/>
      <c r="I5392"/>
      <c r="J5392"/>
      <c r="K5392"/>
      <c r="L5392"/>
      <c r="M5392"/>
      <c r="N5392"/>
      <c r="O5392"/>
      <c r="P5392"/>
      <c r="Q5392"/>
      <c r="R5392"/>
      <c r="S5392"/>
    </row>
    <row r="5393" spans="1:19" x14ac:dyDescent="0.25">
      <c r="A5393" s="1"/>
      <c r="B5393"/>
      <c r="C5393"/>
      <c r="D5393"/>
      <c r="E5393"/>
      <c r="F5393"/>
      <c r="G5393"/>
      <c r="H5393"/>
      <c r="I5393"/>
      <c r="J5393"/>
      <c r="K5393"/>
      <c r="L5393"/>
      <c r="M5393"/>
      <c r="N5393"/>
      <c r="O5393"/>
      <c r="P5393"/>
      <c r="Q5393"/>
      <c r="R5393"/>
      <c r="S5393"/>
    </row>
    <row r="5394" spans="1:19" x14ac:dyDescent="0.25">
      <c r="A5394" s="1"/>
      <c r="B5394"/>
      <c r="C5394"/>
      <c r="D5394"/>
      <c r="E5394"/>
      <c r="F5394"/>
      <c r="G5394"/>
      <c r="H5394"/>
      <c r="I5394"/>
      <c r="J5394"/>
      <c r="K5394"/>
      <c r="L5394"/>
      <c r="M5394"/>
      <c r="N5394"/>
      <c r="O5394"/>
      <c r="P5394"/>
      <c r="Q5394"/>
      <c r="R5394"/>
      <c r="S5394"/>
    </row>
    <row r="5395" spans="1:19" x14ac:dyDescent="0.25">
      <c r="A5395" s="1"/>
      <c r="B5395"/>
      <c r="C5395"/>
      <c r="D5395"/>
      <c r="E5395"/>
      <c r="F5395"/>
      <c r="G5395"/>
      <c r="H5395"/>
      <c r="I5395"/>
      <c r="J5395"/>
      <c r="K5395"/>
      <c r="L5395"/>
      <c r="M5395"/>
      <c r="N5395"/>
      <c r="O5395"/>
      <c r="P5395"/>
      <c r="Q5395"/>
      <c r="R5395"/>
      <c r="S5395"/>
    </row>
    <row r="5396" spans="1:19" x14ac:dyDescent="0.25">
      <c r="A5396" s="1"/>
      <c r="B5396"/>
      <c r="C5396"/>
      <c r="D5396"/>
      <c r="E5396"/>
      <c r="F5396"/>
      <c r="G5396"/>
      <c r="H5396"/>
      <c r="I5396"/>
      <c r="J5396"/>
      <c r="K5396"/>
      <c r="L5396"/>
      <c r="M5396"/>
      <c r="N5396"/>
      <c r="O5396"/>
      <c r="P5396"/>
      <c r="Q5396"/>
      <c r="R5396"/>
      <c r="S5396"/>
    </row>
    <row r="5397" spans="1:19" x14ac:dyDescent="0.25">
      <c r="A5397" s="1"/>
      <c r="B5397"/>
      <c r="C5397"/>
      <c r="D5397"/>
      <c r="E5397"/>
      <c r="F5397"/>
      <c r="G5397"/>
      <c r="H5397"/>
      <c r="I5397"/>
      <c r="J5397"/>
      <c r="K5397"/>
      <c r="L5397"/>
      <c r="M5397"/>
      <c r="N5397"/>
      <c r="O5397"/>
      <c r="P5397"/>
      <c r="Q5397"/>
      <c r="R5397"/>
      <c r="S5397"/>
    </row>
    <row r="5398" spans="1:19" x14ac:dyDescent="0.25">
      <c r="A5398" s="1"/>
      <c r="B5398"/>
      <c r="C5398"/>
      <c r="D5398"/>
      <c r="E5398"/>
      <c r="F5398"/>
      <c r="G5398"/>
      <c r="H5398"/>
      <c r="I5398"/>
      <c r="J5398"/>
      <c r="K5398"/>
      <c r="L5398"/>
      <c r="M5398"/>
      <c r="N5398"/>
      <c r="O5398"/>
      <c r="P5398"/>
      <c r="Q5398"/>
      <c r="R5398"/>
      <c r="S5398"/>
    </row>
    <row r="5399" spans="1:19" x14ac:dyDescent="0.25">
      <c r="A5399" s="1"/>
      <c r="B5399"/>
      <c r="C5399"/>
      <c r="D5399"/>
      <c r="E5399"/>
      <c r="F5399"/>
      <c r="G5399"/>
      <c r="H5399"/>
      <c r="I5399"/>
      <c r="J5399"/>
      <c r="K5399"/>
      <c r="L5399"/>
      <c r="M5399"/>
      <c r="N5399"/>
      <c r="O5399"/>
      <c r="P5399"/>
      <c r="Q5399"/>
      <c r="R5399"/>
      <c r="S5399"/>
    </row>
    <row r="5400" spans="1:19" x14ac:dyDescent="0.25">
      <c r="A5400" s="1"/>
      <c r="B5400"/>
      <c r="C5400"/>
      <c r="D5400"/>
      <c r="E5400"/>
      <c r="F5400"/>
      <c r="G5400"/>
      <c r="H5400"/>
      <c r="I5400"/>
      <c r="J5400"/>
      <c r="K5400"/>
      <c r="L5400"/>
      <c r="M5400"/>
      <c r="N5400"/>
      <c r="O5400"/>
      <c r="P5400"/>
      <c r="Q5400"/>
      <c r="R5400"/>
      <c r="S5400"/>
    </row>
    <row r="5401" spans="1:19" x14ac:dyDescent="0.25">
      <c r="A5401" s="1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/>
      <c r="P5401"/>
      <c r="Q5401"/>
      <c r="R5401"/>
      <c r="S5401"/>
    </row>
    <row r="5402" spans="1:19" x14ac:dyDescent="0.25">
      <c r="A5402" s="1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/>
      <c r="P5402"/>
      <c r="Q5402"/>
      <c r="R5402"/>
      <c r="S5402"/>
    </row>
    <row r="5403" spans="1:19" x14ac:dyDescent="0.25">
      <c r="A5403" s="1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/>
      <c r="P5403"/>
      <c r="Q5403"/>
      <c r="R5403"/>
      <c r="S5403"/>
    </row>
    <row r="5404" spans="1:19" x14ac:dyDescent="0.25">
      <c r="A5404" s="1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/>
      <c r="P5404"/>
      <c r="Q5404"/>
      <c r="R5404"/>
      <c r="S5404"/>
    </row>
    <row r="5405" spans="1:19" x14ac:dyDescent="0.25">
      <c r="A5405" s="1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/>
      <c r="P5405"/>
      <c r="Q5405"/>
      <c r="R5405"/>
      <c r="S5405"/>
    </row>
    <row r="5406" spans="1:19" x14ac:dyDescent="0.25">
      <c r="A5406" s="1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/>
      <c r="P5406"/>
      <c r="Q5406"/>
      <c r="R5406"/>
      <c r="S5406"/>
    </row>
    <row r="5407" spans="1:19" x14ac:dyDescent="0.25">
      <c r="A5407" s="1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/>
      <c r="P5407"/>
      <c r="Q5407"/>
      <c r="R5407"/>
      <c r="S5407"/>
    </row>
    <row r="5408" spans="1:19" x14ac:dyDescent="0.25">
      <c r="A5408" s="1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/>
      <c r="P5408"/>
      <c r="Q5408"/>
      <c r="R5408"/>
      <c r="S5408"/>
    </row>
    <row r="5409" spans="1:19" x14ac:dyDescent="0.25">
      <c r="A5409" s="1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/>
      <c r="P5409"/>
      <c r="Q5409"/>
      <c r="R5409"/>
      <c r="S5409"/>
    </row>
    <row r="5410" spans="1:19" x14ac:dyDescent="0.25">
      <c r="A5410" s="1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/>
      <c r="P5410"/>
      <c r="Q5410"/>
      <c r="R5410"/>
      <c r="S5410"/>
    </row>
    <row r="5411" spans="1:19" x14ac:dyDescent="0.25">
      <c r="A5411" s="1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/>
      <c r="P5411"/>
      <c r="Q5411"/>
      <c r="R5411"/>
      <c r="S5411"/>
    </row>
    <row r="5412" spans="1:19" x14ac:dyDescent="0.25">
      <c r="A5412" s="1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/>
      <c r="P5412"/>
      <c r="Q5412"/>
      <c r="R5412"/>
      <c r="S5412"/>
    </row>
    <row r="5413" spans="1:19" x14ac:dyDescent="0.25">
      <c r="A5413" s="1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/>
      <c r="P5413"/>
      <c r="Q5413"/>
      <c r="R5413"/>
      <c r="S5413"/>
    </row>
    <row r="5414" spans="1:19" x14ac:dyDescent="0.25">
      <c r="A5414" s="1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/>
      <c r="P5414"/>
      <c r="Q5414"/>
      <c r="R5414"/>
      <c r="S5414"/>
    </row>
    <row r="5415" spans="1:19" x14ac:dyDescent="0.25">
      <c r="A5415" s="1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/>
      <c r="P5415"/>
      <c r="Q5415"/>
      <c r="R5415"/>
      <c r="S5415"/>
    </row>
    <row r="5416" spans="1:19" x14ac:dyDescent="0.25">
      <c r="A5416" s="1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/>
      <c r="P5416"/>
      <c r="Q5416"/>
      <c r="R5416"/>
      <c r="S5416"/>
    </row>
    <row r="5417" spans="1:19" x14ac:dyDescent="0.25">
      <c r="A5417" s="1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/>
      <c r="P5417"/>
      <c r="Q5417"/>
      <c r="R5417"/>
      <c r="S5417"/>
    </row>
    <row r="5418" spans="1:19" x14ac:dyDescent="0.25">
      <c r="A5418" s="1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/>
      <c r="P5418"/>
      <c r="Q5418"/>
      <c r="R5418"/>
      <c r="S5418"/>
    </row>
    <row r="5419" spans="1:19" x14ac:dyDescent="0.25">
      <c r="A5419" s="1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/>
      <c r="P5419"/>
      <c r="Q5419"/>
      <c r="R5419"/>
      <c r="S5419"/>
    </row>
    <row r="5420" spans="1:19" x14ac:dyDescent="0.25">
      <c r="A5420" s="1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/>
      <c r="P5420"/>
      <c r="Q5420"/>
      <c r="R5420"/>
      <c r="S5420"/>
    </row>
    <row r="5421" spans="1:19" x14ac:dyDescent="0.25">
      <c r="A5421" s="1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/>
      <c r="P5421"/>
      <c r="Q5421"/>
      <c r="R5421"/>
      <c r="S5421"/>
    </row>
    <row r="5422" spans="1:19" x14ac:dyDescent="0.25">
      <c r="A5422" s="1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/>
      <c r="P5422"/>
      <c r="Q5422"/>
      <c r="R5422"/>
      <c r="S5422"/>
    </row>
    <row r="5423" spans="1:19" x14ac:dyDescent="0.25">
      <c r="A5423" s="1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/>
      <c r="P5423"/>
      <c r="Q5423"/>
      <c r="R5423"/>
      <c r="S5423"/>
    </row>
    <row r="5424" spans="1:19" x14ac:dyDescent="0.25">
      <c r="A5424" s="1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/>
      <c r="P5424"/>
      <c r="Q5424"/>
      <c r="R5424"/>
      <c r="S5424"/>
    </row>
    <row r="5425" spans="1:19" x14ac:dyDescent="0.25">
      <c r="A5425" s="1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/>
      <c r="P5425"/>
      <c r="Q5425"/>
      <c r="R5425"/>
      <c r="S5425"/>
    </row>
    <row r="5426" spans="1:19" x14ac:dyDescent="0.25">
      <c r="A5426" s="1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/>
      <c r="P5426"/>
      <c r="Q5426"/>
      <c r="R5426"/>
      <c r="S5426"/>
    </row>
    <row r="5427" spans="1:19" x14ac:dyDescent="0.25">
      <c r="A5427" s="1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/>
      <c r="P5427"/>
      <c r="Q5427"/>
      <c r="R5427"/>
      <c r="S5427"/>
    </row>
    <row r="5428" spans="1:19" x14ac:dyDescent="0.25">
      <c r="A5428" s="1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/>
      <c r="P5428"/>
      <c r="Q5428"/>
      <c r="R5428"/>
      <c r="S5428"/>
    </row>
    <row r="5429" spans="1:19" x14ac:dyDescent="0.25">
      <c r="A5429" s="1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/>
      <c r="P5429"/>
      <c r="Q5429"/>
      <c r="R5429"/>
      <c r="S5429"/>
    </row>
    <row r="5430" spans="1:19" x14ac:dyDescent="0.25">
      <c r="A5430" s="1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/>
      <c r="P5430"/>
      <c r="Q5430"/>
      <c r="R5430"/>
      <c r="S5430"/>
    </row>
    <row r="5431" spans="1:19" x14ac:dyDescent="0.25">
      <c r="A5431" s="1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/>
      <c r="P5431"/>
      <c r="Q5431"/>
      <c r="R5431"/>
      <c r="S5431"/>
    </row>
    <row r="5432" spans="1:19" x14ac:dyDescent="0.25">
      <c r="A5432" s="1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/>
      <c r="P5432"/>
      <c r="Q5432"/>
      <c r="R5432"/>
      <c r="S5432"/>
    </row>
    <row r="5433" spans="1:19" x14ac:dyDescent="0.25">
      <c r="A5433" s="1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/>
      <c r="P5433"/>
      <c r="Q5433"/>
      <c r="R5433"/>
      <c r="S5433"/>
    </row>
    <row r="5434" spans="1:19" x14ac:dyDescent="0.25">
      <c r="A5434" s="1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/>
      <c r="P5434"/>
      <c r="Q5434"/>
      <c r="R5434"/>
      <c r="S5434"/>
    </row>
    <row r="5435" spans="1:19" x14ac:dyDescent="0.25">
      <c r="A5435" s="1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/>
      <c r="P5435"/>
      <c r="Q5435"/>
      <c r="R5435"/>
      <c r="S5435"/>
    </row>
    <row r="5436" spans="1:19" x14ac:dyDescent="0.25">
      <c r="A5436" s="1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/>
      <c r="P5436"/>
      <c r="Q5436"/>
      <c r="R5436"/>
      <c r="S5436"/>
    </row>
    <row r="5437" spans="1:19" x14ac:dyDescent="0.25">
      <c r="A5437" s="1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/>
      <c r="P5437"/>
      <c r="Q5437"/>
      <c r="R5437"/>
      <c r="S5437"/>
    </row>
    <row r="5438" spans="1:19" x14ac:dyDescent="0.25">
      <c r="A5438" s="1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/>
      <c r="P5438"/>
      <c r="Q5438"/>
      <c r="R5438"/>
      <c r="S5438"/>
    </row>
    <row r="5439" spans="1:19" x14ac:dyDescent="0.25">
      <c r="A5439" s="1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/>
      <c r="P5439"/>
      <c r="Q5439"/>
      <c r="R5439"/>
      <c r="S5439"/>
    </row>
    <row r="5440" spans="1:19" x14ac:dyDescent="0.25">
      <c r="A5440" s="1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/>
      <c r="P5440"/>
      <c r="Q5440"/>
      <c r="R5440"/>
      <c r="S5440"/>
    </row>
    <row r="5441" spans="1:19" x14ac:dyDescent="0.25">
      <c r="A5441" s="1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/>
      <c r="P5441"/>
      <c r="Q5441"/>
      <c r="R5441"/>
      <c r="S5441"/>
    </row>
    <row r="5442" spans="1:19" x14ac:dyDescent="0.25">
      <c r="A5442" s="1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/>
      <c r="P5442"/>
      <c r="Q5442"/>
      <c r="R5442"/>
      <c r="S5442"/>
    </row>
    <row r="5443" spans="1:19" x14ac:dyDescent="0.25">
      <c r="A5443" s="1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/>
      <c r="P5443"/>
      <c r="Q5443"/>
      <c r="R5443"/>
      <c r="S5443"/>
    </row>
    <row r="5444" spans="1:19" x14ac:dyDescent="0.25">
      <c r="A5444" s="1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/>
      <c r="P5444"/>
      <c r="Q5444"/>
      <c r="R5444"/>
      <c r="S5444"/>
    </row>
    <row r="5445" spans="1:19" x14ac:dyDescent="0.25">
      <c r="A5445" s="1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/>
      <c r="P5445"/>
      <c r="Q5445"/>
      <c r="R5445"/>
      <c r="S5445"/>
    </row>
    <row r="5446" spans="1:19" x14ac:dyDescent="0.25">
      <c r="A5446" s="1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/>
      <c r="P5446"/>
      <c r="Q5446"/>
      <c r="R5446"/>
      <c r="S5446"/>
    </row>
    <row r="5447" spans="1:19" x14ac:dyDescent="0.25">
      <c r="A5447" s="1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/>
      <c r="P5447"/>
      <c r="Q5447"/>
      <c r="R5447"/>
      <c r="S5447"/>
    </row>
    <row r="5448" spans="1:19" x14ac:dyDescent="0.25">
      <c r="A5448" s="1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/>
      <c r="P5448"/>
      <c r="Q5448"/>
      <c r="R5448"/>
      <c r="S5448"/>
    </row>
    <row r="5449" spans="1:19" x14ac:dyDescent="0.25">
      <c r="A5449" s="1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/>
      <c r="P5449"/>
      <c r="Q5449"/>
      <c r="R5449"/>
      <c r="S5449"/>
    </row>
    <row r="5450" spans="1:19" x14ac:dyDescent="0.25">
      <c r="A5450" s="1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/>
      <c r="P5450"/>
      <c r="Q5450"/>
      <c r="R5450"/>
      <c r="S5450"/>
    </row>
    <row r="5451" spans="1:19" x14ac:dyDescent="0.25">
      <c r="A5451" s="1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/>
      <c r="P5451"/>
      <c r="Q5451"/>
      <c r="R5451"/>
      <c r="S5451"/>
    </row>
    <row r="5452" spans="1:19" x14ac:dyDescent="0.25">
      <c r="A5452" s="1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/>
      <c r="P5452"/>
      <c r="Q5452"/>
      <c r="R5452"/>
      <c r="S5452"/>
    </row>
    <row r="5453" spans="1:19" x14ac:dyDescent="0.25">
      <c r="A5453" s="1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/>
      <c r="P5453"/>
      <c r="Q5453"/>
      <c r="R5453"/>
      <c r="S5453"/>
    </row>
    <row r="5454" spans="1:19" x14ac:dyDescent="0.25">
      <c r="A5454" s="1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/>
      <c r="P5454"/>
      <c r="Q5454"/>
      <c r="R5454"/>
      <c r="S5454"/>
    </row>
    <row r="5455" spans="1:19" x14ac:dyDescent="0.25">
      <c r="A5455" s="1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/>
      <c r="P5455"/>
      <c r="Q5455"/>
      <c r="R5455"/>
      <c r="S5455"/>
    </row>
    <row r="5456" spans="1:19" x14ac:dyDescent="0.25">
      <c r="A5456" s="1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/>
      <c r="P5456"/>
      <c r="Q5456"/>
      <c r="R5456"/>
      <c r="S5456"/>
    </row>
    <row r="5457" spans="1:19" x14ac:dyDescent="0.25">
      <c r="A5457" s="1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/>
      <c r="P5457"/>
      <c r="Q5457"/>
      <c r="R5457"/>
      <c r="S5457"/>
    </row>
    <row r="5458" spans="1:19" x14ac:dyDescent="0.25">
      <c r="A5458" s="1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/>
      <c r="P5458"/>
      <c r="Q5458"/>
      <c r="R5458"/>
      <c r="S5458"/>
    </row>
    <row r="5459" spans="1:19" x14ac:dyDescent="0.25">
      <c r="A5459" s="1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/>
      <c r="P5459"/>
      <c r="Q5459"/>
      <c r="R5459"/>
      <c r="S5459"/>
    </row>
    <row r="5460" spans="1:19" x14ac:dyDescent="0.25">
      <c r="A5460" s="1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/>
      <c r="P5460"/>
      <c r="Q5460"/>
      <c r="R5460"/>
      <c r="S5460"/>
    </row>
    <row r="5461" spans="1:19" x14ac:dyDescent="0.25">
      <c r="A5461" s="1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/>
      <c r="P5461"/>
      <c r="Q5461"/>
      <c r="R5461"/>
      <c r="S5461"/>
    </row>
    <row r="5462" spans="1:19" x14ac:dyDescent="0.25">
      <c r="A5462" s="1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/>
      <c r="P5462"/>
      <c r="Q5462"/>
      <c r="R5462"/>
      <c r="S5462"/>
    </row>
    <row r="5463" spans="1:19" x14ac:dyDescent="0.25">
      <c r="A5463" s="1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/>
      <c r="P5463"/>
      <c r="Q5463"/>
      <c r="R5463"/>
      <c r="S5463"/>
    </row>
    <row r="5464" spans="1:19" x14ac:dyDescent="0.25">
      <c r="A5464" s="1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/>
      <c r="P5464"/>
      <c r="Q5464"/>
      <c r="R5464"/>
      <c r="S5464"/>
    </row>
    <row r="5465" spans="1:19" x14ac:dyDescent="0.25">
      <c r="A5465" s="1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/>
      <c r="P5465"/>
      <c r="Q5465"/>
      <c r="R5465"/>
      <c r="S5465"/>
    </row>
    <row r="5466" spans="1:19" x14ac:dyDescent="0.25">
      <c r="A5466" s="1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/>
      <c r="P5466"/>
      <c r="Q5466"/>
      <c r="R5466"/>
      <c r="S5466"/>
    </row>
    <row r="5467" spans="1:19" x14ac:dyDescent="0.25">
      <c r="A5467" s="1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/>
      <c r="P5467"/>
      <c r="Q5467"/>
      <c r="R5467"/>
      <c r="S5467"/>
    </row>
    <row r="5468" spans="1:19" x14ac:dyDescent="0.25">
      <c r="A5468" s="1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/>
      <c r="P5468"/>
      <c r="Q5468"/>
      <c r="R5468"/>
      <c r="S5468"/>
    </row>
    <row r="5469" spans="1:19" x14ac:dyDescent="0.25">
      <c r="A5469" s="1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/>
      <c r="P5469"/>
      <c r="Q5469"/>
      <c r="R5469"/>
      <c r="S5469"/>
    </row>
    <row r="5470" spans="1:19" x14ac:dyDescent="0.25">
      <c r="A5470" s="1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/>
      <c r="P5470"/>
      <c r="Q5470"/>
      <c r="R5470"/>
      <c r="S5470"/>
    </row>
    <row r="5471" spans="1:19" x14ac:dyDescent="0.25">
      <c r="A5471" s="1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/>
      <c r="P5471"/>
      <c r="Q5471"/>
      <c r="R5471"/>
      <c r="S5471"/>
    </row>
    <row r="5472" spans="1:19" x14ac:dyDescent="0.25">
      <c r="A5472" s="1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/>
      <c r="P5472"/>
      <c r="Q5472"/>
      <c r="R5472"/>
      <c r="S5472"/>
    </row>
    <row r="5473" spans="1:19" x14ac:dyDescent="0.25">
      <c r="A5473" s="1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/>
      <c r="P5473"/>
      <c r="Q5473"/>
      <c r="R5473"/>
      <c r="S5473"/>
    </row>
    <row r="5474" spans="1:19" x14ac:dyDescent="0.25">
      <c r="A5474" s="1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/>
      <c r="P5474"/>
      <c r="Q5474"/>
      <c r="R5474"/>
      <c r="S5474"/>
    </row>
    <row r="5475" spans="1:19" x14ac:dyDescent="0.25">
      <c r="A5475" s="1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/>
      <c r="P5475"/>
      <c r="Q5475"/>
      <c r="R5475"/>
      <c r="S5475"/>
    </row>
    <row r="5476" spans="1:19" x14ac:dyDescent="0.25">
      <c r="A5476" s="1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/>
      <c r="P5476"/>
      <c r="Q5476"/>
      <c r="R5476"/>
      <c r="S5476"/>
    </row>
    <row r="5477" spans="1:19" x14ac:dyDescent="0.25">
      <c r="A5477" s="1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/>
      <c r="P5477"/>
      <c r="Q5477"/>
      <c r="R5477"/>
      <c r="S5477"/>
    </row>
    <row r="5478" spans="1:19" x14ac:dyDescent="0.25">
      <c r="A5478" s="1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/>
      <c r="P5478"/>
      <c r="Q5478"/>
      <c r="R5478"/>
      <c r="S5478"/>
    </row>
    <row r="5479" spans="1:19" x14ac:dyDescent="0.25">
      <c r="A5479" s="1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/>
      <c r="P5479"/>
      <c r="Q5479"/>
      <c r="R5479"/>
      <c r="S5479"/>
    </row>
    <row r="5480" spans="1:19" x14ac:dyDescent="0.25">
      <c r="A5480" s="1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/>
      <c r="P5480"/>
      <c r="Q5480"/>
      <c r="R5480"/>
      <c r="S5480"/>
    </row>
    <row r="5481" spans="1:19" x14ac:dyDescent="0.25">
      <c r="A5481" s="1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/>
      <c r="P5481"/>
      <c r="Q5481"/>
      <c r="R5481"/>
      <c r="S5481"/>
    </row>
    <row r="5482" spans="1:19" x14ac:dyDescent="0.25">
      <c r="A5482" s="1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/>
      <c r="P5482"/>
      <c r="Q5482"/>
      <c r="R5482"/>
      <c r="S5482"/>
    </row>
    <row r="5483" spans="1:19" x14ac:dyDescent="0.25">
      <c r="A5483" s="1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/>
      <c r="P5483"/>
      <c r="Q5483"/>
      <c r="R5483"/>
      <c r="S5483"/>
    </row>
    <row r="5484" spans="1:19" x14ac:dyDescent="0.25">
      <c r="A5484" s="1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/>
      <c r="P5484"/>
      <c r="Q5484"/>
      <c r="R5484"/>
      <c r="S5484"/>
    </row>
    <row r="5485" spans="1:19" x14ac:dyDescent="0.25">
      <c r="A5485" s="1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/>
      <c r="P5485"/>
      <c r="Q5485"/>
      <c r="R5485"/>
      <c r="S5485"/>
    </row>
    <row r="5486" spans="1:19" x14ac:dyDescent="0.25">
      <c r="A5486" s="1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/>
      <c r="P5486"/>
      <c r="Q5486"/>
      <c r="R5486"/>
      <c r="S5486"/>
    </row>
    <row r="5487" spans="1:19" x14ac:dyDescent="0.25">
      <c r="A5487" s="1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/>
      <c r="P5487"/>
      <c r="Q5487"/>
      <c r="R5487"/>
      <c r="S5487"/>
    </row>
    <row r="5488" spans="1:19" x14ac:dyDescent="0.25">
      <c r="A5488" s="1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/>
      <c r="P5488"/>
      <c r="Q5488"/>
      <c r="R5488"/>
      <c r="S5488"/>
    </row>
    <row r="5489" spans="1:19" x14ac:dyDescent="0.25">
      <c r="A5489" s="1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/>
      <c r="P5489"/>
      <c r="Q5489"/>
      <c r="R5489"/>
      <c r="S5489"/>
    </row>
    <row r="5490" spans="1:19" x14ac:dyDescent="0.25">
      <c r="A5490" s="1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/>
      <c r="P5490"/>
      <c r="Q5490"/>
      <c r="R5490"/>
      <c r="S5490"/>
    </row>
    <row r="5491" spans="1:19" x14ac:dyDescent="0.25">
      <c r="A5491" s="1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/>
      <c r="P5491"/>
      <c r="Q5491"/>
      <c r="R5491"/>
      <c r="S5491"/>
    </row>
    <row r="5492" spans="1:19" x14ac:dyDescent="0.25">
      <c r="A5492" s="1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/>
      <c r="P5492"/>
      <c r="Q5492"/>
      <c r="R5492"/>
      <c r="S5492"/>
    </row>
    <row r="5493" spans="1:19" x14ac:dyDescent="0.25">
      <c r="A5493" s="1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/>
      <c r="P5493"/>
      <c r="Q5493"/>
      <c r="R5493"/>
      <c r="S5493"/>
    </row>
    <row r="5494" spans="1:19" x14ac:dyDescent="0.25">
      <c r="A5494" s="1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/>
      <c r="P5494"/>
      <c r="Q5494"/>
      <c r="R5494"/>
      <c r="S5494"/>
    </row>
    <row r="5495" spans="1:19" x14ac:dyDescent="0.25">
      <c r="A5495" s="1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/>
      <c r="P5495"/>
      <c r="Q5495"/>
      <c r="R5495"/>
      <c r="S5495"/>
    </row>
    <row r="5496" spans="1:19" x14ac:dyDescent="0.25">
      <c r="A5496" s="1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/>
      <c r="P5496"/>
      <c r="Q5496"/>
      <c r="R5496"/>
      <c r="S5496"/>
    </row>
    <row r="5497" spans="1:19" x14ac:dyDescent="0.25">
      <c r="A5497" s="1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/>
      <c r="P5497"/>
      <c r="Q5497"/>
      <c r="R5497"/>
      <c r="S5497"/>
    </row>
    <row r="5498" spans="1:19" x14ac:dyDescent="0.25">
      <c r="A5498" s="1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/>
      <c r="P5498"/>
      <c r="Q5498"/>
      <c r="R5498"/>
      <c r="S5498"/>
    </row>
    <row r="5499" spans="1:19" x14ac:dyDescent="0.25">
      <c r="A5499" s="1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/>
      <c r="P5499"/>
      <c r="Q5499"/>
      <c r="R5499"/>
      <c r="S5499"/>
    </row>
    <row r="5500" spans="1:19" x14ac:dyDescent="0.25">
      <c r="A5500" s="1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/>
      <c r="P5500"/>
      <c r="Q5500"/>
      <c r="R5500"/>
      <c r="S5500"/>
    </row>
    <row r="5501" spans="1:19" x14ac:dyDescent="0.25">
      <c r="A5501" s="1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/>
      <c r="P5501"/>
      <c r="Q5501"/>
      <c r="R5501"/>
      <c r="S5501"/>
    </row>
    <row r="5502" spans="1:19" x14ac:dyDescent="0.25">
      <c r="A5502" s="1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/>
      <c r="P5502"/>
      <c r="Q5502"/>
      <c r="R5502"/>
      <c r="S5502"/>
    </row>
    <row r="5503" spans="1:19" x14ac:dyDescent="0.25">
      <c r="A5503" s="1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/>
      <c r="P5503"/>
      <c r="Q5503"/>
      <c r="R5503"/>
      <c r="S5503"/>
    </row>
    <row r="5504" spans="1:19" x14ac:dyDescent="0.25">
      <c r="A5504" s="1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/>
      <c r="P5504"/>
      <c r="Q5504"/>
      <c r="R5504"/>
      <c r="S5504"/>
    </row>
    <row r="5505" spans="1:19" x14ac:dyDescent="0.25">
      <c r="A5505" s="1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/>
      <c r="P5505"/>
      <c r="Q5505"/>
      <c r="R5505"/>
      <c r="S5505"/>
    </row>
    <row r="5506" spans="1:19" x14ac:dyDescent="0.25">
      <c r="A5506" s="1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/>
      <c r="P5506"/>
      <c r="Q5506"/>
      <c r="R5506"/>
      <c r="S5506"/>
    </row>
    <row r="5507" spans="1:19" x14ac:dyDescent="0.25">
      <c r="A5507" s="1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/>
      <c r="P5507"/>
      <c r="Q5507"/>
      <c r="R5507"/>
      <c r="S5507"/>
    </row>
    <row r="5508" spans="1:19" x14ac:dyDescent="0.25">
      <c r="A5508" s="1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/>
      <c r="P5508"/>
      <c r="Q5508"/>
      <c r="R5508"/>
      <c r="S5508"/>
    </row>
    <row r="5509" spans="1:19" x14ac:dyDescent="0.25">
      <c r="A5509" s="1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/>
      <c r="P5509"/>
      <c r="Q5509"/>
      <c r="R5509"/>
      <c r="S5509"/>
    </row>
    <row r="5510" spans="1:19" x14ac:dyDescent="0.25">
      <c r="A5510" s="1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/>
      <c r="P5510"/>
      <c r="Q5510"/>
      <c r="R5510"/>
      <c r="S5510"/>
    </row>
    <row r="5511" spans="1:19" x14ac:dyDescent="0.25">
      <c r="A5511" s="1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/>
      <c r="P5511"/>
      <c r="Q5511"/>
      <c r="R5511"/>
      <c r="S5511"/>
    </row>
    <row r="5512" spans="1:19" x14ac:dyDescent="0.25">
      <c r="A5512" s="1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/>
      <c r="P5512"/>
      <c r="Q5512"/>
      <c r="R5512"/>
      <c r="S5512"/>
    </row>
    <row r="5513" spans="1:19" x14ac:dyDescent="0.25">
      <c r="A5513" s="1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/>
      <c r="P5513"/>
      <c r="Q5513"/>
      <c r="R5513"/>
      <c r="S5513"/>
    </row>
    <row r="5514" spans="1:19" x14ac:dyDescent="0.25">
      <c r="A5514" s="1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/>
      <c r="P5514"/>
      <c r="Q5514"/>
      <c r="R5514"/>
      <c r="S5514"/>
    </row>
    <row r="5515" spans="1:19" x14ac:dyDescent="0.25">
      <c r="A5515" s="1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/>
      <c r="P5515"/>
      <c r="Q5515"/>
      <c r="R5515"/>
      <c r="S5515"/>
    </row>
    <row r="5516" spans="1:19" x14ac:dyDescent="0.25">
      <c r="A5516" s="1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/>
      <c r="P5516"/>
      <c r="Q5516"/>
      <c r="R5516"/>
      <c r="S5516"/>
    </row>
    <row r="5517" spans="1:19" x14ac:dyDescent="0.25">
      <c r="A5517" s="1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/>
      <c r="P5517"/>
      <c r="Q5517"/>
      <c r="R5517"/>
      <c r="S5517"/>
    </row>
    <row r="5518" spans="1:19" x14ac:dyDescent="0.25">
      <c r="A5518" s="1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/>
      <c r="P5518"/>
      <c r="Q5518"/>
      <c r="R5518"/>
      <c r="S5518"/>
    </row>
    <row r="5519" spans="1:19" x14ac:dyDescent="0.25">
      <c r="A5519" s="1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/>
      <c r="P5519"/>
      <c r="Q5519"/>
      <c r="R5519"/>
      <c r="S5519"/>
    </row>
    <row r="5520" spans="1:19" x14ac:dyDescent="0.25">
      <c r="A5520" s="1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/>
      <c r="P5520"/>
      <c r="Q5520"/>
      <c r="R5520"/>
      <c r="S5520"/>
    </row>
    <row r="5521" spans="1:19" x14ac:dyDescent="0.25">
      <c r="A5521" s="1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/>
      <c r="P5521"/>
      <c r="Q5521"/>
      <c r="R5521"/>
      <c r="S5521"/>
    </row>
    <row r="5522" spans="1:19" x14ac:dyDescent="0.25">
      <c r="A5522" s="1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/>
      <c r="P5522"/>
      <c r="Q5522"/>
      <c r="R5522"/>
      <c r="S5522"/>
    </row>
    <row r="5523" spans="1:19" x14ac:dyDescent="0.25">
      <c r="A5523" s="1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/>
      <c r="P5523"/>
      <c r="Q5523"/>
      <c r="R5523"/>
      <c r="S5523"/>
    </row>
    <row r="5524" spans="1:19" x14ac:dyDescent="0.25">
      <c r="A5524" s="1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/>
      <c r="P5524"/>
      <c r="Q5524"/>
      <c r="R5524"/>
      <c r="S5524"/>
    </row>
    <row r="5525" spans="1:19" x14ac:dyDescent="0.25">
      <c r="A5525" s="1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/>
      <c r="P5525"/>
      <c r="Q5525"/>
      <c r="R5525"/>
      <c r="S5525"/>
    </row>
    <row r="5526" spans="1:19" x14ac:dyDescent="0.25">
      <c r="A5526" s="1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/>
      <c r="P5526"/>
      <c r="Q5526"/>
      <c r="R5526"/>
      <c r="S5526"/>
    </row>
    <row r="5527" spans="1:19" x14ac:dyDescent="0.25">
      <c r="A5527" s="1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/>
      <c r="P5527"/>
      <c r="Q5527"/>
      <c r="R5527"/>
      <c r="S5527"/>
    </row>
    <row r="5528" spans="1:19" x14ac:dyDescent="0.25">
      <c r="A5528" s="1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/>
      <c r="P5528"/>
      <c r="Q5528"/>
      <c r="R5528"/>
      <c r="S5528"/>
    </row>
    <row r="5529" spans="1:19" x14ac:dyDescent="0.25">
      <c r="A5529" s="1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/>
      <c r="P5529"/>
      <c r="Q5529"/>
      <c r="R5529"/>
      <c r="S5529"/>
    </row>
    <row r="5530" spans="1:19" x14ac:dyDescent="0.25">
      <c r="A5530" s="1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/>
      <c r="P5530"/>
      <c r="Q5530"/>
      <c r="R5530"/>
      <c r="S5530"/>
    </row>
    <row r="5531" spans="1:19" x14ac:dyDescent="0.25">
      <c r="A5531" s="1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/>
      <c r="P5531"/>
      <c r="Q5531"/>
      <c r="R5531"/>
      <c r="S5531"/>
    </row>
    <row r="5532" spans="1:19" x14ac:dyDescent="0.25">
      <c r="A5532" s="1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/>
      <c r="P5532"/>
      <c r="Q5532"/>
      <c r="R5532"/>
      <c r="S5532"/>
    </row>
    <row r="5533" spans="1:19" x14ac:dyDescent="0.25">
      <c r="A5533" s="1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/>
      <c r="P5533"/>
      <c r="Q5533"/>
      <c r="R5533"/>
      <c r="S5533"/>
    </row>
    <row r="5534" spans="1:19" x14ac:dyDescent="0.25">
      <c r="A5534" s="1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/>
      <c r="P5534"/>
      <c r="Q5534"/>
      <c r="R5534"/>
      <c r="S5534"/>
    </row>
    <row r="5535" spans="1:19" x14ac:dyDescent="0.25">
      <c r="A5535" s="1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/>
      <c r="P5535"/>
      <c r="Q5535"/>
      <c r="R5535"/>
      <c r="S5535"/>
    </row>
    <row r="5536" spans="1:19" x14ac:dyDescent="0.25">
      <c r="A5536" s="1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/>
      <c r="P5536"/>
      <c r="Q5536"/>
      <c r="R5536"/>
      <c r="S5536"/>
    </row>
    <row r="5537" spans="1:19" x14ac:dyDescent="0.25">
      <c r="A5537" s="1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/>
      <c r="P5537"/>
      <c r="Q5537"/>
      <c r="R5537"/>
      <c r="S5537"/>
    </row>
    <row r="5538" spans="1:19" x14ac:dyDescent="0.25">
      <c r="A5538" s="1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/>
      <c r="P5538"/>
      <c r="Q5538"/>
      <c r="R5538"/>
      <c r="S5538"/>
    </row>
    <row r="5539" spans="1:19" x14ac:dyDescent="0.25">
      <c r="A5539" s="1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/>
      <c r="P5539"/>
      <c r="Q5539"/>
      <c r="R5539"/>
      <c r="S5539"/>
    </row>
    <row r="5540" spans="1:19" x14ac:dyDescent="0.25">
      <c r="A5540" s="1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/>
      <c r="P5540"/>
      <c r="Q5540"/>
      <c r="R5540"/>
      <c r="S5540"/>
    </row>
    <row r="5541" spans="1:19" x14ac:dyDescent="0.25">
      <c r="A5541" s="1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/>
      <c r="P5541"/>
      <c r="Q5541"/>
      <c r="R5541"/>
      <c r="S5541"/>
    </row>
    <row r="5542" spans="1:19" x14ac:dyDescent="0.25">
      <c r="A5542" s="1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/>
      <c r="P5542"/>
      <c r="Q5542"/>
      <c r="R5542"/>
      <c r="S5542"/>
    </row>
    <row r="5543" spans="1:19" x14ac:dyDescent="0.25">
      <c r="A5543" s="1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/>
      <c r="P5543"/>
      <c r="Q5543"/>
      <c r="R5543"/>
      <c r="S5543"/>
    </row>
    <row r="5544" spans="1:19" x14ac:dyDescent="0.25">
      <c r="A5544" s="1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/>
      <c r="P5544"/>
      <c r="Q5544"/>
      <c r="R5544"/>
      <c r="S5544"/>
    </row>
    <row r="5545" spans="1:19" x14ac:dyDescent="0.25">
      <c r="A5545" s="1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/>
      <c r="P5545"/>
      <c r="Q5545"/>
      <c r="R5545"/>
      <c r="S5545"/>
    </row>
    <row r="5546" spans="1:19" x14ac:dyDescent="0.25">
      <c r="A5546" s="1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/>
      <c r="P5546"/>
      <c r="Q5546"/>
      <c r="R5546"/>
      <c r="S5546"/>
    </row>
    <row r="5547" spans="1:19" x14ac:dyDescent="0.25">
      <c r="A5547" s="1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/>
      <c r="P5547"/>
      <c r="Q5547"/>
      <c r="R5547"/>
      <c r="S5547"/>
    </row>
    <row r="5548" spans="1:19" x14ac:dyDescent="0.25">
      <c r="A5548" s="1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/>
      <c r="P5548"/>
      <c r="Q5548"/>
      <c r="R5548"/>
      <c r="S5548"/>
    </row>
    <row r="5549" spans="1:19" x14ac:dyDescent="0.25">
      <c r="A5549" s="1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/>
      <c r="P5549"/>
      <c r="Q5549"/>
      <c r="R5549"/>
      <c r="S5549"/>
    </row>
    <row r="5550" spans="1:19" x14ac:dyDescent="0.25">
      <c r="A5550" s="1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/>
      <c r="P5550"/>
      <c r="Q5550"/>
      <c r="R5550"/>
      <c r="S5550"/>
    </row>
    <row r="5551" spans="1:19" x14ac:dyDescent="0.25">
      <c r="A5551" s="1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/>
      <c r="P5551"/>
      <c r="Q5551"/>
      <c r="R5551"/>
      <c r="S5551"/>
    </row>
    <row r="5552" spans="1:19" x14ac:dyDescent="0.25">
      <c r="A5552" s="1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/>
      <c r="P5552"/>
      <c r="Q5552"/>
      <c r="R5552"/>
      <c r="S5552"/>
    </row>
    <row r="5553" spans="1:19" x14ac:dyDescent="0.25">
      <c r="A5553" s="1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/>
      <c r="P5553"/>
      <c r="Q5553"/>
      <c r="R5553"/>
      <c r="S5553"/>
    </row>
    <row r="5554" spans="1:19" x14ac:dyDescent="0.25">
      <c r="A5554" s="1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/>
      <c r="P5554"/>
      <c r="Q5554"/>
      <c r="R5554"/>
      <c r="S5554"/>
    </row>
    <row r="5555" spans="1:19" x14ac:dyDescent="0.25">
      <c r="A5555" s="1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/>
      <c r="P5555"/>
      <c r="Q5555"/>
      <c r="R5555"/>
      <c r="S5555"/>
    </row>
    <row r="5556" spans="1:19" x14ac:dyDescent="0.25">
      <c r="A5556" s="1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/>
      <c r="P5556"/>
      <c r="Q5556"/>
      <c r="R5556"/>
      <c r="S5556"/>
    </row>
    <row r="5557" spans="1:19" x14ac:dyDescent="0.25">
      <c r="A5557" s="1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/>
      <c r="P5557"/>
      <c r="Q5557"/>
      <c r="R5557"/>
      <c r="S5557"/>
    </row>
    <row r="5558" spans="1:19" x14ac:dyDescent="0.25">
      <c r="A5558" s="1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/>
      <c r="P5558"/>
      <c r="Q5558"/>
      <c r="R5558"/>
      <c r="S5558"/>
    </row>
    <row r="5559" spans="1:19" x14ac:dyDescent="0.25">
      <c r="A5559" s="1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/>
      <c r="P5559"/>
      <c r="Q5559"/>
      <c r="R5559"/>
      <c r="S5559"/>
    </row>
    <row r="5560" spans="1:19" x14ac:dyDescent="0.25">
      <c r="A5560" s="1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/>
      <c r="P5560"/>
      <c r="Q5560"/>
      <c r="R5560"/>
      <c r="S5560"/>
    </row>
    <row r="5561" spans="1:19" x14ac:dyDescent="0.25">
      <c r="A5561" s="1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/>
      <c r="P5561"/>
      <c r="Q5561"/>
      <c r="R5561"/>
      <c r="S5561"/>
    </row>
    <row r="5562" spans="1:19" x14ac:dyDescent="0.25">
      <c r="A5562" s="1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/>
      <c r="P5562"/>
      <c r="Q5562"/>
      <c r="R5562"/>
      <c r="S5562"/>
    </row>
    <row r="5563" spans="1:19" x14ac:dyDescent="0.25">
      <c r="A5563" s="1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/>
      <c r="P5563"/>
      <c r="Q5563"/>
      <c r="R5563"/>
      <c r="S5563"/>
    </row>
    <row r="5564" spans="1:19" x14ac:dyDescent="0.25">
      <c r="A5564" s="1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/>
      <c r="P5564"/>
      <c r="Q5564"/>
      <c r="R5564"/>
      <c r="S5564"/>
    </row>
    <row r="5565" spans="1:19" x14ac:dyDescent="0.25">
      <c r="A5565" s="1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/>
      <c r="P5565"/>
      <c r="Q5565"/>
      <c r="R5565"/>
      <c r="S5565"/>
    </row>
    <row r="5566" spans="1:19" x14ac:dyDescent="0.25">
      <c r="A5566" s="1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/>
      <c r="P5566"/>
      <c r="Q5566"/>
      <c r="R5566"/>
      <c r="S5566"/>
    </row>
    <row r="5567" spans="1:19" x14ac:dyDescent="0.25">
      <c r="A5567" s="1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/>
      <c r="P5567"/>
      <c r="Q5567"/>
      <c r="R5567"/>
      <c r="S5567"/>
    </row>
    <row r="5568" spans="1:19" x14ac:dyDescent="0.25">
      <c r="A5568" s="1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/>
      <c r="P5568"/>
      <c r="Q5568"/>
      <c r="R5568"/>
      <c r="S5568"/>
    </row>
    <row r="5569" spans="1:19" x14ac:dyDescent="0.25">
      <c r="A5569" s="1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/>
      <c r="P5569"/>
      <c r="Q5569"/>
      <c r="R5569"/>
      <c r="S5569"/>
    </row>
    <row r="5570" spans="1:19" x14ac:dyDescent="0.25">
      <c r="A5570" s="1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/>
      <c r="P5570"/>
      <c r="Q5570"/>
      <c r="R5570"/>
      <c r="S5570"/>
    </row>
    <row r="5571" spans="1:19" x14ac:dyDescent="0.25">
      <c r="A5571" s="1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/>
      <c r="P5571"/>
      <c r="Q5571"/>
      <c r="R5571"/>
      <c r="S5571"/>
    </row>
    <row r="5572" spans="1:19" x14ac:dyDescent="0.25">
      <c r="A5572" s="1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/>
      <c r="P5572"/>
      <c r="Q5572"/>
      <c r="R5572"/>
      <c r="S5572"/>
    </row>
    <row r="5573" spans="1:19" x14ac:dyDescent="0.25">
      <c r="A5573" s="1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/>
      <c r="P5573"/>
      <c r="Q5573"/>
      <c r="R5573"/>
      <c r="S5573"/>
    </row>
    <row r="5574" spans="1:19" x14ac:dyDescent="0.25">
      <c r="A5574" s="1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/>
      <c r="P5574"/>
      <c r="Q5574"/>
      <c r="R5574"/>
      <c r="S5574"/>
    </row>
    <row r="5575" spans="1:19" x14ac:dyDescent="0.25">
      <c r="A5575" s="1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/>
      <c r="P5575"/>
      <c r="Q5575"/>
      <c r="R5575"/>
      <c r="S5575"/>
    </row>
    <row r="5576" spans="1:19" x14ac:dyDescent="0.25">
      <c r="A5576" s="1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/>
      <c r="P5576"/>
      <c r="Q5576"/>
      <c r="R5576"/>
      <c r="S5576"/>
    </row>
    <row r="5577" spans="1:19" x14ac:dyDescent="0.25">
      <c r="A5577" s="1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/>
      <c r="P5577"/>
      <c r="Q5577"/>
      <c r="R5577"/>
      <c r="S5577"/>
    </row>
    <row r="5578" spans="1:19" x14ac:dyDescent="0.25">
      <c r="A5578" s="1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/>
      <c r="P5578"/>
      <c r="Q5578"/>
      <c r="R5578"/>
      <c r="S5578"/>
    </row>
    <row r="5579" spans="1:19" x14ac:dyDescent="0.25">
      <c r="A5579" s="1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/>
      <c r="P5579"/>
      <c r="Q5579"/>
      <c r="R5579"/>
      <c r="S5579"/>
    </row>
    <row r="5580" spans="1:19" x14ac:dyDescent="0.25">
      <c r="A5580" s="1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/>
      <c r="P5580"/>
      <c r="Q5580"/>
      <c r="R5580"/>
      <c r="S5580"/>
    </row>
    <row r="5581" spans="1:19" x14ac:dyDescent="0.25">
      <c r="A5581" s="1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/>
      <c r="P5581"/>
      <c r="Q5581"/>
      <c r="R5581"/>
      <c r="S5581"/>
    </row>
    <row r="5582" spans="1:19" x14ac:dyDescent="0.25">
      <c r="A5582" s="1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/>
      <c r="P5582"/>
      <c r="Q5582"/>
      <c r="R5582"/>
      <c r="S5582"/>
    </row>
    <row r="5583" spans="1:19" x14ac:dyDescent="0.25">
      <c r="A5583" s="1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/>
      <c r="P5583"/>
      <c r="Q5583"/>
      <c r="R5583"/>
      <c r="S5583"/>
    </row>
    <row r="5584" spans="1:19" x14ac:dyDescent="0.25">
      <c r="A5584" s="1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/>
      <c r="P5584"/>
      <c r="Q5584"/>
      <c r="R5584"/>
      <c r="S5584"/>
    </row>
    <row r="5585" spans="1:19" x14ac:dyDescent="0.25">
      <c r="A5585" s="1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/>
      <c r="P5585"/>
      <c r="Q5585"/>
      <c r="R5585"/>
      <c r="S5585"/>
    </row>
    <row r="5586" spans="1:19" x14ac:dyDescent="0.25">
      <c r="A5586" s="1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/>
      <c r="P5586"/>
      <c r="Q5586"/>
      <c r="R5586"/>
      <c r="S5586"/>
    </row>
    <row r="5587" spans="1:19" x14ac:dyDescent="0.25">
      <c r="A5587" s="1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/>
      <c r="P5587"/>
      <c r="Q5587"/>
      <c r="R5587"/>
      <c r="S5587"/>
    </row>
    <row r="5588" spans="1:19" x14ac:dyDescent="0.25">
      <c r="A5588" s="1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/>
      <c r="P5588"/>
      <c r="Q5588"/>
      <c r="R5588"/>
      <c r="S5588"/>
    </row>
    <row r="5589" spans="1:19" x14ac:dyDescent="0.25">
      <c r="A5589" s="1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/>
      <c r="P5589"/>
      <c r="Q5589"/>
      <c r="R5589"/>
      <c r="S5589"/>
    </row>
    <row r="5590" spans="1:19" x14ac:dyDescent="0.25">
      <c r="A5590" s="1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/>
      <c r="P5590"/>
      <c r="Q5590"/>
      <c r="R5590"/>
      <c r="S5590"/>
    </row>
    <row r="5591" spans="1:19" x14ac:dyDescent="0.25">
      <c r="A5591" s="1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/>
      <c r="P5591"/>
      <c r="Q5591"/>
      <c r="R5591"/>
      <c r="S5591"/>
    </row>
    <row r="5592" spans="1:19" x14ac:dyDescent="0.25">
      <c r="A5592" s="1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/>
      <c r="P5592"/>
      <c r="Q5592"/>
      <c r="R5592"/>
      <c r="S5592"/>
    </row>
    <row r="5593" spans="1:19" x14ac:dyDescent="0.25">
      <c r="A5593" s="1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/>
      <c r="P5593"/>
      <c r="Q5593"/>
      <c r="R5593"/>
      <c r="S5593"/>
    </row>
    <row r="5594" spans="1:19" x14ac:dyDescent="0.25">
      <c r="A5594" s="1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/>
      <c r="P5594"/>
      <c r="Q5594"/>
      <c r="R5594"/>
      <c r="S5594"/>
    </row>
    <row r="5595" spans="1:19" x14ac:dyDescent="0.25">
      <c r="A5595" s="1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/>
      <c r="P5595"/>
      <c r="Q5595"/>
      <c r="R5595"/>
      <c r="S5595"/>
    </row>
    <row r="5596" spans="1:19" x14ac:dyDescent="0.25">
      <c r="A5596" s="1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/>
      <c r="P5596"/>
      <c r="Q5596"/>
      <c r="R5596"/>
      <c r="S5596"/>
    </row>
    <row r="5597" spans="1:19" x14ac:dyDescent="0.25">
      <c r="A5597" s="1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/>
      <c r="P5597"/>
      <c r="Q5597"/>
      <c r="R5597"/>
      <c r="S5597"/>
    </row>
    <row r="5598" spans="1:19" x14ac:dyDescent="0.25">
      <c r="A5598" s="1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/>
      <c r="P5598"/>
      <c r="Q5598"/>
      <c r="R5598"/>
      <c r="S5598"/>
    </row>
    <row r="5599" spans="1:19" x14ac:dyDescent="0.25">
      <c r="A5599" s="1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/>
      <c r="P5599"/>
      <c r="Q5599"/>
      <c r="R5599"/>
      <c r="S5599"/>
    </row>
    <row r="5600" spans="1:19" x14ac:dyDescent="0.25">
      <c r="A5600" s="1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/>
      <c r="P5600"/>
      <c r="Q5600"/>
      <c r="R5600"/>
      <c r="S5600"/>
    </row>
    <row r="5601" spans="1:19" x14ac:dyDescent="0.25">
      <c r="A5601" s="1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/>
      <c r="P5601"/>
      <c r="Q5601"/>
      <c r="R5601"/>
      <c r="S5601"/>
    </row>
    <row r="5602" spans="1:19" x14ac:dyDescent="0.25">
      <c r="A5602" s="1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/>
      <c r="P5602"/>
      <c r="Q5602"/>
      <c r="R5602"/>
      <c r="S5602"/>
    </row>
    <row r="5603" spans="1:19" x14ac:dyDescent="0.25">
      <c r="A5603" s="1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/>
      <c r="P5603"/>
      <c r="Q5603"/>
      <c r="R5603"/>
      <c r="S5603"/>
    </row>
    <row r="5604" spans="1:19" x14ac:dyDescent="0.25">
      <c r="A5604" s="1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/>
      <c r="P5604"/>
      <c r="Q5604"/>
      <c r="R5604"/>
      <c r="S5604"/>
    </row>
    <row r="5605" spans="1:19" x14ac:dyDescent="0.25">
      <c r="A5605" s="1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/>
      <c r="P5605"/>
      <c r="Q5605"/>
      <c r="R5605"/>
      <c r="S5605"/>
    </row>
    <row r="5606" spans="1:19" x14ac:dyDescent="0.25">
      <c r="A5606" s="1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/>
      <c r="P5606"/>
      <c r="Q5606"/>
      <c r="R5606"/>
      <c r="S5606"/>
    </row>
    <row r="5607" spans="1:19" x14ac:dyDescent="0.25">
      <c r="A5607" s="1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/>
      <c r="P5607"/>
      <c r="Q5607"/>
      <c r="R5607"/>
      <c r="S5607"/>
    </row>
    <row r="5608" spans="1:19" x14ac:dyDescent="0.25">
      <c r="A5608" s="1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/>
      <c r="P5608"/>
      <c r="Q5608"/>
      <c r="R5608"/>
      <c r="S5608"/>
    </row>
    <row r="5609" spans="1:19" x14ac:dyDescent="0.25">
      <c r="A5609" s="1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/>
      <c r="P5609"/>
      <c r="Q5609"/>
      <c r="R5609"/>
      <c r="S5609"/>
    </row>
    <row r="5610" spans="1:19" x14ac:dyDescent="0.25">
      <c r="A5610" s="1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/>
      <c r="P5610"/>
      <c r="Q5610"/>
      <c r="R5610"/>
      <c r="S5610"/>
    </row>
    <row r="5611" spans="1:19" x14ac:dyDescent="0.25">
      <c r="A5611" s="1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/>
      <c r="P5611"/>
      <c r="Q5611"/>
      <c r="R5611"/>
      <c r="S5611"/>
    </row>
    <row r="5612" spans="1:19" x14ac:dyDescent="0.25">
      <c r="A5612" s="1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/>
      <c r="P5612"/>
      <c r="Q5612"/>
      <c r="R5612"/>
      <c r="S5612"/>
    </row>
    <row r="5613" spans="1:19" x14ac:dyDescent="0.25">
      <c r="A5613" s="1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/>
      <c r="P5613"/>
      <c r="Q5613"/>
      <c r="R5613"/>
      <c r="S5613"/>
    </row>
    <row r="5614" spans="1:19" x14ac:dyDescent="0.25">
      <c r="A5614" s="1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/>
      <c r="P5614"/>
      <c r="Q5614"/>
      <c r="R5614"/>
      <c r="S5614"/>
    </row>
    <row r="5615" spans="1:19" x14ac:dyDescent="0.25">
      <c r="A5615" s="1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/>
      <c r="P5615"/>
      <c r="Q5615"/>
      <c r="R5615"/>
      <c r="S5615"/>
    </row>
    <row r="5616" spans="1:19" x14ac:dyDescent="0.25">
      <c r="A5616" s="1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/>
      <c r="P5616"/>
      <c r="Q5616"/>
      <c r="R5616"/>
      <c r="S5616"/>
    </row>
    <row r="5617" spans="1:19" x14ac:dyDescent="0.25">
      <c r="A5617" s="1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/>
      <c r="P5617"/>
      <c r="Q5617"/>
      <c r="R5617"/>
      <c r="S5617"/>
    </row>
    <row r="5618" spans="1:19" x14ac:dyDescent="0.25">
      <c r="A5618" s="1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/>
      <c r="P5618"/>
      <c r="Q5618"/>
      <c r="R5618"/>
      <c r="S5618"/>
    </row>
    <row r="5619" spans="1:19" x14ac:dyDescent="0.25">
      <c r="A5619" s="1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/>
      <c r="P5619"/>
      <c r="Q5619"/>
      <c r="R5619"/>
      <c r="S5619"/>
    </row>
    <row r="5620" spans="1:19" x14ac:dyDescent="0.25">
      <c r="A5620" s="1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/>
      <c r="P5620"/>
      <c r="Q5620"/>
      <c r="R5620"/>
      <c r="S5620"/>
    </row>
    <row r="5621" spans="1:19" x14ac:dyDescent="0.25">
      <c r="A5621" s="1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/>
      <c r="P5621"/>
      <c r="Q5621"/>
      <c r="R5621"/>
      <c r="S5621"/>
    </row>
    <row r="5622" spans="1:19" x14ac:dyDescent="0.25">
      <c r="A5622" s="1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/>
      <c r="P5622"/>
      <c r="Q5622"/>
      <c r="R5622"/>
      <c r="S5622"/>
    </row>
    <row r="5623" spans="1:19" x14ac:dyDescent="0.25">
      <c r="A5623" s="1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/>
      <c r="P5623"/>
      <c r="Q5623"/>
      <c r="R5623"/>
      <c r="S5623"/>
    </row>
    <row r="5624" spans="1:19" x14ac:dyDescent="0.25">
      <c r="A5624" s="1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/>
      <c r="P5624"/>
      <c r="Q5624"/>
      <c r="R5624"/>
      <c r="S5624"/>
    </row>
    <row r="5625" spans="1:19" x14ac:dyDescent="0.25">
      <c r="A5625" s="1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/>
      <c r="P5625"/>
      <c r="Q5625"/>
      <c r="R5625"/>
      <c r="S5625"/>
    </row>
    <row r="5626" spans="1:19" x14ac:dyDescent="0.25">
      <c r="A5626" s="1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/>
      <c r="P5626"/>
      <c r="Q5626"/>
      <c r="R5626"/>
      <c r="S5626"/>
    </row>
    <row r="5627" spans="1:19" x14ac:dyDescent="0.25">
      <c r="A5627" s="1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/>
      <c r="P5627"/>
      <c r="Q5627"/>
      <c r="R5627"/>
      <c r="S5627"/>
    </row>
    <row r="5628" spans="1:19" x14ac:dyDescent="0.25">
      <c r="A5628" s="1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/>
      <c r="P5628"/>
      <c r="Q5628"/>
      <c r="R5628"/>
      <c r="S5628"/>
    </row>
    <row r="5629" spans="1:19" x14ac:dyDescent="0.25">
      <c r="A5629" s="1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/>
      <c r="P5629"/>
      <c r="Q5629"/>
      <c r="R5629"/>
      <c r="S5629"/>
    </row>
    <row r="5630" spans="1:19" x14ac:dyDescent="0.25">
      <c r="A5630" s="1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/>
      <c r="P5630"/>
      <c r="Q5630"/>
      <c r="R5630"/>
      <c r="S5630"/>
    </row>
    <row r="5631" spans="1:19" x14ac:dyDescent="0.25">
      <c r="A5631" s="1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/>
      <c r="P5631"/>
      <c r="Q5631"/>
      <c r="R5631"/>
      <c r="S5631"/>
    </row>
    <row r="5632" spans="1:19" x14ac:dyDescent="0.25">
      <c r="A5632" s="1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/>
      <c r="P5632"/>
      <c r="Q5632"/>
      <c r="R5632"/>
      <c r="S5632"/>
    </row>
    <row r="5633" spans="1:19" x14ac:dyDescent="0.25">
      <c r="A5633" s="1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/>
      <c r="P5633"/>
      <c r="Q5633"/>
      <c r="R5633"/>
      <c r="S5633"/>
    </row>
    <row r="5634" spans="1:19" x14ac:dyDescent="0.25">
      <c r="A5634" s="1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/>
      <c r="P5634"/>
      <c r="Q5634"/>
      <c r="R5634"/>
      <c r="S5634"/>
    </row>
    <row r="5635" spans="1:19" x14ac:dyDescent="0.25">
      <c r="A5635" s="1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/>
      <c r="P5635"/>
      <c r="Q5635"/>
      <c r="R5635"/>
      <c r="S5635"/>
    </row>
    <row r="5636" spans="1:19" x14ac:dyDescent="0.25">
      <c r="A5636" s="1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/>
      <c r="P5636"/>
      <c r="Q5636"/>
      <c r="R5636"/>
      <c r="S5636"/>
    </row>
    <row r="5637" spans="1:19" x14ac:dyDescent="0.25">
      <c r="A5637" s="1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/>
      <c r="P5637"/>
      <c r="Q5637"/>
      <c r="R5637"/>
      <c r="S5637"/>
    </row>
    <row r="5638" spans="1:19" x14ac:dyDescent="0.25">
      <c r="A5638" s="1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/>
      <c r="P5638"/>
      <c r="Q5638"/>
      <c r="R5638"/>
      <c r="S5638"/>
    </row>
    <row r="5639" spans="1:19" x14ac:dyDescent="0.25">
      <c r="A5639" s="1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/>
      <c r="P5639"/>
      <c r="Q5639"/>
      <c r="R5639"/>
      <c r="S5639"/>
    </row>
    <row r="5640" spans="1:19" x14ac:dyDescent="0.25">
      <c r="A5640" s="1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/>
      <c r="P5640"/>
      <c r="Q5640"/>
      <c r="R5640"/>
      <c r="S5640"/>
    </row>
    <row r="5641" spans="1:19" x14ac:dyDescent="0.25">
      <c r="A5641" s="1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/>
      <c r="P5641"/>
      <c r="Q5641"/>
      <c r="R5641"/>
      <c r="S5641"/>
    </row>
    <row r="5642" spans="1:19" x14ac:dyDescent="0.25">
      <c r="A5642" s="1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/>
      <c r="P5642"/>
      <c r="Q5642"/>
      <c r="R5642"/>
      <c r="S5642"/>
    </row>
    <row r="5643" spans="1:19" x14ac:dyDescent="0.25">
      <c r="A5643" s="1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/>
      <c r="P5643"/>
      <c r="Q5643"/>
      <c r="R5643"/>
      <c r="S5643"/>
    </row>
    <row r="5644" spans="1:19" x14ac:dyDescent="0.25">
      <c r="A5644" s="1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/>
      <c r="P5644"/>
      <c r="Q5644"/>
      <c r="R5644"/>
      <c r="S5644"/>
    </row>
    <row r="5645" spans="1:19" x14ac:dyDescent="0.25">
      <c r="A5645" s="1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/>
      <c r="P5645"/>
      <c r="Q5645"/>
      <c r="R5645"/>
      <c r="S5645"/>
    </row>
    <row r="5646" spans="1:19" x14ac:dyDescent="0.25">
      <c r="A5646" s="1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/>
      <c r="P5646"/>
      <c r="Q5646"/>
      <c r="R5646"/>
      <c r="S5646"/>
    </row>
    <row r="5647" spans="1:19" x14ac:dyDescent="0.25">
      <c r="A5647" s="1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/>
      <c r="P5647"/>
      <c r="Q5647"/>
      <c r="R5647"/>
      <c r="S5647"/>
    </row>
    <row r="5648" spans="1:19" x14ac:dyDescent="0.25">
      <c r="A5648" s="1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/>
      <c r="P5648"/>
      <c r="Q5648"/>
      <c r="R5648"/>
      <c r="S5648"/>
    </row>
    <row r="5649" spans="1:19" x14ac:dyDescent="0.25">
      <c r="A5649" s="1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/>
      <c r="P5649"/>
      <c r="Q5649"/>
      <c r="R5649"/>
      <c r="S5649"/>
    </row>
    <row r="5650" spans="1:19" x14ac:dyDescent="0.25">
      <c r="A5650" s="1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/>
      <c r="P5650"/>
      <c r="Q5650"/>
      <c r="R5650"/>
      <c r="S5650"/>
    </row>
    <row r="5651" spans="1:19" x14ac:dyDescent="0.25">
      <c r="A5651" s="1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/>
      <c r="P5651"/>
      <c r="Q5651"/>
      <c r="R5651"/>
      <c r="S5651"/>
    </row>
    <row r="5652" spans="1:19" x14ac:dyDescent="0.25">
      <c r="A5652" s="1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/>
      <c r="P5652"/>
      <c r="Q5652"/>
      <c r="R5652"/>
      <c r="S5652"/>
    </row>
    <row r="5653" spans="1:19" x14ac:dyDescent="0.25">
      <c r="A5653" s="1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/>
      <c r="P5653"/>
      <c r="Q5653"/>
      <c r="R5653"/>
      <c r="S5653"/>
    </row>
    <row r="5654" spans="1:19" x14ac:dyDescent="0.25">
      <c r="A5654" s="1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/>
      <c r="P5654"/>
      <c r="Q5654"/>
      <c r="R5654"/>
      <c r="S5654"/>
    </row>
    <row r="5655" spans="1:19" x14ac:dyDescent="0.25">
      <c r="A5655" s="1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/>
      <c r="P5655"/>
      <c r="Q5655"/>
      <c r="R5655"/>
      <c r="S5655"/>
    </row>
    <row r="5656" spans="1:19" x14ac:dyDescent="0.25">
      <c r="A5656" s="1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/>
      <c r="P5656"/>
      <c r="Q5656"/>
      <c r="R5656"/>
      <c r="S5656"/>
    </row>
    <row r="5657" spans="1:19" x14ac:dyDescent="0.25">
      <c r="A5657" s="1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/>
      <c r="P5657"/>
      <c r="Q5657"/>
      <c r="R5657"/>
      <c r="S5657"/>
    </row>
    <row r="5658" spans="1:19" x14ac:dyDescent="0.25">
      <c r="A5658" s="1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/>
      <c r="P5658"/>
      <c r="Q5658"/>
      <c r="R5658"/>
      <c r="S5658"/>
    </row>
    <row r="5659" spans="1:19" x14ac:dyDescent="0.25">
      <c r="A5659" s="1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/>
      <c r="P5659"/>
      <c r="Q5659"/>
      <c r="R5659"/>
      <c r="S5659"/>
    </row>
    <row r="5660" spans="1:19" x14ac:dyDescent="0.25">
      <c r="A5660" s="1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/>
      <c r="P5660"/>
      <c r="Q5660"/>
      <c r="R5660"/>
      <c r="S5660"/>
    </row>
    <row r="5661" spans="1:19" x14ac:dyDescent="0.25">
      <c r="A5661" s="1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/>
      <c r="P5661"/>
      <c r="Q5661"/>
      <c r="R5661"/>
      <c r="S5661"/>
    </row>
    <row r="5662" spans="1:19" x14ac:dyDescent="0.25">
      <c r="A5662" s="1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/>
      <c r="P5662"/>
      <c r="Q5662"/>
      <c r="R5662"/>
      <c r="S5662"/>
    </row>
    <row r="5663" spans="1:19" x14ac:dyDescent="0.25">
      <c r="A5663" s="1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/>
      <c r="P5663"/>
      <c r="Q5663"/>
      <c r="R5663"/>
      <c r="S5663"/>
    </row>
    <row r="5664" spans="1:19" x14ac:dyDescent="0.25">
      <c r="A5664" s="1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/>
      <c r="P5664"/>
      <c r="Q5664"/>
      <c r="R5664"/>
      <c r="S5664"/>
    </row>
    <row r="5665" spans="1:19" x14ac:dyDescent="0.25">
      <c r="A5665" s="1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/>
      <c r="P5665"/>
      <c r="Q5665"/>
      <c r="R5665"/>
      <c r="S5665"/>
    </row>
    <row r="5666" spans="1:19" x14ac:dyDescent="0.25">
      <c r="A5666" s="1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/>
      <c r="P5666"/>
      <c r="Q5666"/>
      <c r="R5666"/>
      <c r="S5666"/>
    </row>
    <row r="5667" spans="1:19" x14ac:dyDescent="0.25">
      <c r="A5667" s="1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/>
      <c r="P5667"/>
      <c r="Q5667"/>
      <c r="R5667"/>
      <c r="S5667"/>
    </row>
    <row r="5668" spans="1:19" x14ac:dyDescent="0.25">
      <c r="A5668" s="1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/>
      <c r="P5668"/>
      <c r="Q5668"/>
      <c r="R5668"/>
      <c r="S5668"/>
    </row>
    <row r="5669" spans="1:19" x14ac:dyDescent="0.25">
      <c r="A5669" s="1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/>
      <c r="P5669"/>
      <c r="Q5669"/>
      <c r="R5669"/>
      <c r="S5669"/>
    </row>
    <row r="5670" spans="1:19" x14ac:dyDescent="0.25">
      <c r="A5670" s="1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/>
      <c r="P5670"/>
      <c r="Q5670"/>
      <c r="R5670"/>
      <c r="S5670"/>
    </row>
    <row r="5671" spans="1:19" x14ac:dyDescent="0.25">
      <c r="A5671" s="1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/>
      <c r="P5671"/>
      <c r="Q5671"/>
      <c r="R5671"/>
      <c r="S5671"/>
    </row>
    <row r="5672" spans="1:19" x14ac:dyDescent="0.25">
      <c r="A5672" s="1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/>
      <c r="P5672"/>
      <c r="Q5672"/>
      <c r="R5672"/>
      <c r="S5672"/>
    </row>
    <row r="5673" spans="1:19" x14ac:dyDescent="0.25">
      <c r="A5673" s="1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/>
      <c r="P5673"/>
      <c r="Q5673"/>
      <c r="R5673"/>
      <c r="S5673"/>
    </row>
    <row r="5674" spans="1:19" x14ac:dyDescent="0.25">
      <c r="A5674" s="1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/>
      <c r="P5674"/>
      <c r="Q5674"/>
      <c r="R5674"/>
      <c r="S5674"/>
    </row>
    <row r="5675" spans="1:19" x14ac:dyDescent="0.25">
      <c r="A5675" s="1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/>
      <c r="P5675"/>
      <c r="Q5675"/>
      <c r="R5675"/>
      <c r="S5675"/>
    </row>
    <row r="5676" spans="1:19" x14ac:dyDescent="0.25">
      <c r="A5676" s="1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/>
      <c r="P5676"/>
      <c r="Q5676"/>
      <c r="R5676"/>
      <c r="S5676"/>
    </row>
    <row r="5677" spans="1:19" x14ac:dyDescent="0.25">
      <c r="A5677" s="1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/>
      <c r="P5677"/>
      <c r="Q5677"/>
      <c r="R5677"/>
      <c r="S5677"/>
    </row>
    <row r="5678" spans="1:19" x14ac:dyDescent="0.25">
      <c r="A5678" s="1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/>
      <c r="P5678"/>
      <c r="Q5678"/>
      <c r="R5678"/>
      <c r="S5678"/>
    </row>
    <row r="5679" spans="1:19" x14ac:dyDescent="0.25">
      <c r="A5679" s="1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/>
      <c r="P5679"/>
      <c r="Q5679"/>
      <c r="R5679"/>
      <c r="S5679"/>
    </row>
    <row r="5680" spans="1:19" x14ac:dyDescent="0.25">
      <c r="A5680" s="1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/>
      <c r="P5680"/>
      <c r="Q5680"/>
      <c r="R5680"/>
      <c r="S5680"/>
    </row>
    <row r="5681" spans="1:19" x14ac:dyDescent="0.25">
      <c r="A5681" s="1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/>
      <c r="P5681"/>
      <c r="Q5681"/>
      <c r="R5681"/>
      <c r="S5681"/>
    </row>
    <row r="5682" spans="1:19" x14ac:dyDescent="0.25">
      <c r="A5682" s="1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/>
      <c r="P5682"/>
      <c r="Q5682"/>
      <c r="R5682"/>
      <c r="S5682"/>
    </row>
    <row r="5683" spans="1:19" x14ac:dyDescent="0.25">
      <c r="A5683" s="1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/>
      <c r="P5683"/>
      <c r="Q5683"/>
      <c r="R5683"/>
      <c r="S5683"/>
    </row>
    <row r="5684" spans="1:19" x14ac:dyDescent="0.25">
      <c r="A5684" s="1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/>
      <c r="P5684"/>
      <c r="Q5684"/>
      <c r="R5684"/>
      <c r="S5684"/>
    </row>
    <row r="5685" spans="1:19" x14ac:dyDescent="0.25">
      <c r="A5685" s="1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/>
      <c r="P5685"/>
      <c r="Q5685"/>
      <c r="R5685"/>
      <c r="S5685"/>
    </row>
    <row r="5686" spans="1:19" x14ac:dyDescent="0.25">
      <c r="A5686" s="1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/>
      <c r="P5686"/>
      <c r="Q5686"/>
      <c r="R5686"/>
      <c r="S5686"/>
    </row>
    <row r="5687" spans="1:19" x14ac:dyDescent="0.25">
      <c r="A5687" s="1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/>
      <c r="P5687"/>
      <c r="Q5687"/>
      <c r="R5687"/>
      <c r="S5687"/>
    </row>
    <row r="5688" spans="1:19" x14ac:dyDescent="0.25">
      <c r="A5688" s="1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/>
      <c r="P5688"/>
      <c r="Q5688"/>
      <c r="R5688"/>
      <c r="S5688"/>
    </row>
    <row r="5689" spans="1:19" x14ac:dyDescent="0.25">
      <c r="A5689" s="1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/>
      <c r="P5689"/>
      <c r="Q5689"/>
      <c r="R5689"/>
      <c r="S5689"/>
    </row>
    <row r="5690" spans="1:19" x14ac:dyDescent="0.25">
      <c r="A5690" s="1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/>
      <c r="P5690"/>
      <c r="Q5690"/>
      <c r="R5690"/>
      <c r="S5690"/>
    </row>
    <row r="5691" spans="1:19" x14ac:dyDescent="0.25">
      <c r="A5691" s="1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/>
      <c r="P5691"/>
      <c r="Q5691"/>
      <c r="R5691"/>
      <c r="S5691"/>
    </row>
    <row r="5692" spans="1:19" x14ac:dyDescent="0.25">
      <c r="A5692" s="1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/>
      <c r="P5692"/>
      <c r="Q5692"/>
      <c r="R5692"/>
      <c r="S5692"/>
    </row>
    <row r="5693" spans="1:19" x14ac:dyDescent="0.25">
      <c r="A5693" s="1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/>
      <c r="P5693"/>
      <c r="Q5693"/>
      <c r="R5693"/>
      <c r="S5693"/>
    </row>
    <row r="5694" spans="1:19" x14ac:dyDescent="0.25">
      <c r="A5694" s="1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/>
      <c r="P5694"/>
      <c r="Q5694"/>
      <c r="R5694"/>
      <c r="S5694"/>
    </row>
    <row r="5695" spans="1:19" x14ac:dyDescent="0.25">
      <c r="A5695" s="1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/>
      <c r="P5695"/>
      <c r="Q5695"/>
      <c r="R5695"/>
      <c r="S5695"/>
    </row>
    <row r="5696" spans="1:19" x14ac:dyDescent="0.25">
      <c r="A5696" s="1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/>
      <c r="P5696"/>
      <c r="Q5696"/>
      <c r="R5696"/>
      <c r="S5696"/>
    </row>
    <row r="5697" spans="1:19" x14ac:dyDescent="0.25">
      <c r="A5697" s="1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/>
      <c r="P5697"/>
      <c r="Q5697"/>
      <c r="R5697"/>
      <c r="S5697"/>
    </row>
    <row r="5698" spans="1:19" x14ac:dyDescent="0.25">
      <c r="A5698" s="1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/>
      <c r="P5698"/>
      <c r="Q5698"/>
      <c r="R5698"/>
      <c r="S5698"/>
    </row>
    <row r="5699" spans="1:19" x14ac:dyDescent="0.25">
      <c r="A5699" s="1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/>
      <c r="P5699"/>
      <c r="Q5699"/>
      <c r="R5699"/>
      <c r="S5699"/>
    </row>
    <row r="5700" spans="1:19" x14ac:dyDescent="0.25">
      <c r="A5700" s="1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/>
      <c r="P5700"/>
      <c r="Q5700"/>
      <c r="R5700"/>
      <c r="S5700"/>
    </row>
    <row r="5701" spans="1:19" x14ac:dyDescent="0.25">
      <c r="A5701" s="1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/>
      <c r="P5701"/>
      <c r="Q5701"/>
      <c r="R5701"/>
      <c r="S5701"/>
    </row>
    <row r="5702" spans="1:19" x14ac:dyDescent="0.25">
      <c r="A5702" s="1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/>
      <c r="P5702"/>
      <c r="Q5702"/>
      <c r="R5702"/>
      <c r="S5702"/>
    </row>
    <row r="5703" spans="1:19" x14ac:dyDescent="0.25">
      <c r="A5703" s="1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/>
      <c r="P5703"/>
      <c r="Q5703"/>
      <c r="R5703"/>
      <c r="S5703"/>
    </row>
    <row r="5704" spans="1:19" x14ac:dyDescent="0.25">
      <c r="A5704" s="1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/>
      <c r="P5704"/>
      <c r="Q5704"/>
      <c r="R5704"/>
      <c r="S5704"/>
    </row>
    <row r="5705" spans="1:19" x14ac:dyDescent="0.25">
      <c r="A5705" s="1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/>
      <c r="P5705"/>
      <c r="Q5705"/>
      <c r="R5705"/>
      <c r="S5705"/>
    </row>
    <row r="5706" spans="1:19" x14ac:dyDescent="0.25">
      <c r="A5706" s="1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/>
      <c r="P5706"/>
      <c r="Q5706"/>
      <c r="R5706"/>
      <c r="S5706"/>
    </row>
    <row r="5707" spans="1:19" x14ac:dyDescent="0.25">
      <c r="A5707" s="1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/>
      <c r="P5707"/>
      <c r="Q5707"/>
      <c r="R5707"/>
      <c r="S5707"/>
    </row>
    <row r="5708" spans="1:19" x14ac:dyDescent="0.25">
      <c r="A5708" s="1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/>
      <c r="P5708"/>
      <c r="Q5708"/>
      <c r="R5708"/>
      <c r="S5708"/>
    </row>
    <row r="5709" spans="1:19" x14ac:dyDescent="0.25">
      <c r="A5709" s="1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/>
      <c r="P5709"/>
      <c r="Q5709"/>
      <c r="R5709"/>
      <c r="S5709"/>
    </row>
    <row r="5710" spans="1:19" x14ac:dyDescent="0.25">
      <c r="A5710" s="1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/>
      <c r="P5710"/>
      <c r="Q5710"/>
      <c r="R5710"/>
      <c r="S5710"/>
    </row>
    <row r="5711" spans="1:19" x14ac:dyDescent="0.25">
      <c r="A5711" s="1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/>
      <c r="P5711"/>
      <c r="Q5711"/>
      <c r="R5711"/>
      <c r="S5711"/>
    </row>
    <row r="5712" spans="1:19" x14ac:dyDescent="0.25">
      <c r="A5712" s="1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/>
      <c r="P5712"/>
      <c r="Q5712"/>
      <c r="R5712"/>
      <c r="S5712"/>
    </row>
    <row r="5713" spans="1:19" x14ac:dyDescent="0.25">
      <c r="A5713" s="1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/>
      <c r="P5713"/>
      <c r="Q5713"/>
      <c r="R5713"/>
      <c r="S5713"/>
    </row>
    <row r="5714" spans="1:19" x14ac:dyDescent="0.25">
      <c r="A5714" s="1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/>
      <c r="P5714"/>
      <c r="Q5714"/>
      <c r="R5714"/>
      <c r="S5714"/>
    </row>
    <row r="5715" spans="1:19" x14ac:dyDescent="0.25">
      <c r="A5715" s="1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/>
      <c r="P5715"/>
      <c r="Q5715"/>
      <c r="R5715"/>
      <c r="S5715"/>
    </row>
    <row r="5716" spans="1:19" x14ac:dyDescent="0.25">
      <c r="A5716" s="1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/>
      <c r="P5716"/>
      <c r="Q5716"/>
      <c r="R5716"/>
      <c r="S5716"/>
    </row>
    <row r="5717" spans="1:19" x14ac:dyDescent="0.25">
      <c r="A5717" s="1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/>
      <c r="P5717"/>
      <c r="Q5717"/>
      <c r="R5717"/>
      <c r="S5717"/>
    </row>
    <row r="5718" spans="1:19" x14ac:dyDescent="0.25">
      <c r="A5718" s="1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/>
      <c r="P5718"/>
      <c r="Q5718"/>
      <c r="R5718"/>
      <c r="S5718"/>
    </row>
    <row r="5719" spans="1:19" x14ac:dyDescent="0.25">
      <c r="A5719" s="1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/>
      <c r="P5719"/>
      <c r="Q5719"/>
      <c r="R5719"/>
      <c r="S5719"/>
    </row>
    <row r="5720" spans="1:19" x14ac:dyDescent="0.25">
      <c r="A5720" s="1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/>
      <c r="P5720"/>
      <c r="Q5720"/>
      <c r="R5720"/>
      <c r="S5720"/>
    </row>
    <row r="5721" spans="1:19" x14ac:dyDescent="0.25">
      <c r="A5721" s="1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/>
      <c r="P5721"/>
      <c r="Q5721"/>
      <c r="R5721"/>
      <c r="S5721"/>
    </row>
    <row r="5722" spans="1:19" x14ac:dyDescent="0.25">
      <c r="A5722" s="1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/>
      <c r="P5722"/>
      <c r="Q5722"/>
      <c r="R5722"/>
      <c r="S5722"/>
    </row>
    <row r="5723" spans="1:19" x14ac:dyDescent="0.25">
      <c r="A5723" s="1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/>
      <c r="P5723"/>
      <c r="Q5723"/>
      <c r="R5723"/>
      <c r="S5723"/>
    </row>
    <row r="5724" spans="1:19" x14ac:dyDescent="0.25">
      <c r="A5724" s="1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/>
      <c r="P5724"/>
      <c r="Q5724"/>
      <c r="R5724"/>
      <c r="S5724"/>
    </row>
    <row r="5725" spans="1:19" x14ac:dyDescent="0.25">
      <c r="A5725" s="1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/>
      <c r="P5725"/>
      <c r="Q5725"/>
      <c r="R5725"/>
      <c r="S5725"/>
    </row>
    <row r="5726" spans="1:19" x14ac:dyDescent="0.25">
      <c r="A5726" s="1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/>
      <c r="P5726"/>
      <c r="Q5726"/>
      <c r="R5726"/>
      <c r="S5726"/>
    </row>
    <row r="5727" spans="1:19" x14ac:dyDescent="0.25">
      <c r="A5727" s="1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/>
      <c r="P5727"/>
      <c r="Q5727"/>
      <c r="R5727"/>
      <c r="S5727"/>
    </row>
    <row r="5728" spans="1:19" x14ac:dyDescent="0.25">
      <c r="A5728" s="1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/>
      <c r="P5728"/>
      <c r="Q5728"/>
      <c r="R5728"/>
      <c r="S5728"/>
    </row>
    <row r="5729" spans="1:19" x14ac:dyDescent="0.25">
      <c r="A5729" s="1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/>
      <c r="P5729"/>
      <c r="Q5729"/>
      <c r="R5729"/>
      <c r="S5729"/>
    </row>
    <row r="5730" spans="1:19" x14ac:dyDescent="0.25">
      <c r="A5730" s="1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/>
      <c r="P5730"/>
      <c r="Q5730"/>
      <c r="R5730"/>
      <c r="S5730"/>
    </row>
    <row r="5731" spans="1:19" x14ac:dyDescent="0.25">
      <c r="A5731" s="1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/>
      <c r="P5731"/>
      <c r="Q5731"/>
      <c r="R5731"/>
      <c r="S5731"/>
    </row>
    <row r="5732" spans="1:19" x14ac:dyDescent="0.25">
      <c r="A5732" s="1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/>
      <c r="P5732"/>
      <c r="Q5732"/>
      <c r="R5732"/>
      <c r="S5732"/>
    </row>
    <row r="5733" spans="1:19" x14ac:dyDescent="0.25">
      <c r="A5733" s="1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/>
      <c r="P5733"/>
      <c r="Q5733"/>
      <c r="R5733"/>
      <c r="S5733"/>
    </row>
    <row r="5734" spans="1:19" x14ac:dyDescent="0.25">
      <c r="A5734" s="1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/>
      <c r="P5734"/>
      <c r="Q5734"/>
      <c r="R5734"/>
      <c r="S5734"/>
    </row>
    <row r="5735" spans="1:19" x14ac:dyDescent="0.25">
      <c r="A5735" s="1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/>
      <c r="P5735"/>
      <c r="Q5735"/>
      <c r="R5735"/>
      <c r="S5735"/>
    </row>
    <row r="5736" spans="1:19" x14ac:dyDescent="0.25">
      <c r="A5736" s="1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/>
      <c r="P5736"/>
      <c r="Q5736"/>
      <c r="R5736"/>
      <c r="S5736"/>
    </row>
    <row r="5737" spans="1:19" x14ac:dyDescent="0.25">
      <c r="A5737" s="1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/>
      <c r="P5737"/>
      <c r="Q5737"/>
      <c r="R5737"/>
      <c r="S5737"/>
    </row>
    <row r="5738" spans="1:19" x14ac:dyDescent="0.25">
      <c r="A5738" s="1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/>
      <c r="P5738"/>
      <c r="Q5738"/>
      <c r="R5738"/>
      <c r="S5738"/>
    </row>
    <row r="5739" spans="1:19" x14ac:dyDescent="0.25">
      <c r="A5739" s="1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/>
      <c r="P5739"/>
      <c r="Q5739"/>
      <c r="R5739"/>
      <c r="S5739"/>
    </row>
    <row r="5740" spans="1:19" x14ac:dyDescent="0.25">
      <c r="A5740" s="1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/>
      <c r="P5740"/>
      <c r="Q5740"/>
      <c r="R5740"/>
      <c r="S5740"/>
    </row>
    <row r="5741" spans="1:19" x14ac:dyDescent="0.25">
      <c r="A5741" s="1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/>
      <c r="P5741"/>
      <c r="Q5741"/>
      <c r="R5741"/>
      <c r="S5741"/>
    </row>
    <row r="5742" spans="1:19" x14ac:dyDescent="0.25">
      <c r="A5742" s="1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/>
      <c r="P5742"/>
      <c r="Q5742"/>
      <c r="R5742"/>
      <c r="S5742"/>
    </row>
    <row r="5743" spans="1:19" x14ac:dyDescent="0.25">
      <c r="A5743" s="1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/>
      <c r="P5743"/>
      <c r="Q5743"/>
      <c r="R5743"/>
      <c r="S5743"/>
    </row>
    <row r="5744" spans="1:19" x14ac:dyDescent="0.25">
      <c r="A5744" s="1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/>
      <c r="P5744"/>
      <c r="Q5744"/>
      <c r="R5744"/>
      <c r="S5744"/>
    </row>
    <row r="5745" spans="1:19" x14ac:dyDescent="0.25">
      <c r="A5745" s="1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/>
      <c r="P5745"/>
      <c r="Q5745"/>
      <c r="R5745"/>
      <c r="S5745"/>
    </row>
    <row r="5746" spans="1:19" x14ac:dyDescent="0.25">
      <c r="A5746" s="1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/>
      <c r="P5746"/>
      <c r="Q5746"/>
      <c r="R5746"/>
      <c r="S5746"/>
    </row>
    <row r="5747" spans="1:19" x14ac:dyDescent="0.25">
      <c r="A5747" s="1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/>
      <c r="P5747"/>
      <c r="Q5747"/>
      <c r="R5747"/>
      <c r="S5747"/>
    </row>
    <row r="5748" spans="1:19" x14ac:dyDescent="0.25">
      <c r="A5748" s="1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/>
      <c r="P5748"/>
      <c r="Q5748"/>
      <c r="R5748"/>
      <c r="S5748"/>
    </row>
    <row r="5749" spans="1:19" x14ac:dyDescent="0.25">
      <c r="A5749" s="1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/>
      <c r="P5749"/>
      <c r="Q5749"/>
      <c r="R5749"/>
      <c r="S5749"/>
    </row>
    <row r="5750" spans="1:19" x14ac:dyDescent="0.25">
      <c r="A5750" s="1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/>
      <c r="P5750"/>
      <c r="Q5750"/>
      <c r="R5750"/>
      <c r="S5750"/>
    </row>
    <row r="5751" spans="1:19" x14ac:dyDescent="0.25">
      <c r="A5751" s="1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/>
      <c r="P5751"/>
      <c r="Q5751"/>
      <c r="R5751"/>
      <c r="S5751"/>
    </row>
    <row r="5752" spans="1:19" x14ac:dyDescent="0.25">
      <c r="A5752" s="1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/>
      <c r="P5752"/>
      <c r="Q5752"/>
      <c r="R5752"/>
      <c r="S5752"/>
    </row>
    <row r="5753" spans="1:19" x14ac:dyDescent="0.25">
      <c r="A5753" s="1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/>
      <c r="P5753"/>
      <c r="Q5753"/>
      <c r="R5753"/>
      <c r="S5753"/>
    </row>
    <row r="5754" spans="1:19" x14ac:dyDescent="0.25">
      <c r="A5754" s="1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/>
      <c r="P5754"/>
      <c r="Q5754"/>
      <c r="R5754"/>
      <c r="S5754"/>
    </row>
    <row r="5755" spans="1:19" x14ac:dyDescent="0.25">
      <c r="A5755" s="1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/>
      <c r="P5755"/>
      <c r="Q5755"/>
      <c r="R5755"/>
      <c r="S5755"/>
    </row>
    <row r="5756" spans="1:19" x14ac:dyDescent="0.25">
      <c r="A5756" s="1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/>
      <c r="P5756"/>
      <c r="Q5756"/>
      <c r="R5756"/>
      <c r="S5756"/>
    </row>
    <row r="5757" spans="1:19" x14ac:dyDescent="0.25">
      <c r="A5757" s="1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/>
      <c r="P5757"/>
      <c r="Q5757"/>
      <c r="R5757"/>
      <c r="S5757"/>
    </row>
    <row r="5758" spans="1:19" x14ac:dyDescent="0.25">
      <c r="A5758" s="1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/>
      <c r="P5758"/>
      <c r="Q5758"/>
      <c r="R5758"/>
      <c r="S5758"/>
    </row>
    <row r="5759" spans="1:19" x14ac:dyDescent="0.25">
      <c r="A5759" s="1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/>
      <c r="P5759"/>
      <c r="Q5759"/>
      <c r="R5759"/>
      <c r="S5759"/>
    </row>
    <row r="5760" spans="1:19" x14ac:dyDescent="0.25">
      <c r="A5760" s="1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/>
      <c r="P5760"/>
      <c r="Q5760"/>
      <c r="R5760"/>
      <c r="S5760"/>
    </row>
    <row r="5761" spans="1:19" x14ac:dyDescent="0.25">
      <c r="A5761" s="1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/>
      <c r="P5761"/>
      <c r="Q5761"/>
      <c r="R5761"/>
      <c r="S5761"/>
    </row>
    <row r="5762" spans="1:19" x14ac:dyDescent="0.25">
      <c r="A5762" s="1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/>
      <c r="P5762"/>
      <c r="Q5762"/>
      <c r="R5762"/>
      <c r="S5762"/>
    </row>
    <row r="5763" spans="1:19" x14ac:dyDescent="0.25">
      <c r="A5763" s="1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/>
      <c r="P5763"/>
      <c r="Q5763"/>
      <c r="R5763"/>
      <c r="S5763"/>
    </row>
    <row r="5764" spans="1:19" x14ac:dyDescent="0.25">
      <c r="A5764" s="1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/>
      <c r="P5764"/>
      <c r="Q5764"/>
      <c r="R5764"/>
      <c r="S5764"/>
    </row>
    <row r="5765" spans="1:19" x14ac:dyDescent="0.25">
      <c r="A5765" s="1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/>
      <c r="P5765"/>
      <c r="Q5765"/>
      <c r="R5765"/>
      <c r="S5765"/>
    </row>
    <row r="5766" spans="1:19" x14ac:dyDescent="0.25">
      <c r="A5766" s="1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/>
      <c r="P5766"/>
      <c r="Q5766"/>
      <c r="R5766"/>
      <c r="S5766"/>
    </row>
    <row r="5767" spans="1:19" x14ac:dyDescent="0.25">
      <c r="A5767" s="1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/>
      <c r="P5767"/>
      <c r="Q5767"/>
      <c r="R5767"/>
      <c r="S5767"/>
    </row>
    <row r="5768" spans="1:19" x14ac:dyDescent="0.25">
      <c r="A5768" s="1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/>
      <c r="P5768"/>
      <c r="Q5768"/>
      <c r="R5768"/>
      <c r="S5768"/>
    </row>
    <row r="5769" spans="1:19" x14ac:dyDescent="0.25">
      <c r="A5769" s="1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/>
      <c r="P5769"/>
      <c r="Q5769"/>
      <c r="R5769"/>
      <c r="S5769"/>
    </row>
    <row r="5770" spans="1:19" x14ac:dyDescent="0.25">
      <c r="A5770" s="1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/>
      <c r="P5770"/>
      <c r="Q5770"/>
      <c r="R5770"/>
      <c r="S5770"/>
    </row>
    <row r="5771" spans="1:19" x14ac:dyDescent="0.25">
      <c r="A5771" s="1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/>
      <c r="P5771"/>
      <c r="Q5771"/>
      <c r="R5771"/>
      <c r="S5771"/>
    </row>
    <row r="5772" spans="1:19" x14ac:dyDescent="0.25">
      <c r="A5772" s="1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/>
      <c r="P5772"/>
      <c r="Q5772"/>
      <c r="R5772"/>
      <c r="S5772"/>
    </row>
    <row r="5773" spans="1:19" x14ac:dyDescent="0.25">
      <c r="A5773" s="1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/>
      <c r="P5773"/>
      <c r="Q5773"/>
      <c r="R5773"/>
      <c r="S5773"/>
    </row>
    <row r="5774" spans="1:19" x14ac:dyDescent="0.25">
      <c r="A5774" s="1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/>
      <c r="P5774"/>
      <c r="Q5774"/>
      <c r="R5774"/>
      <c r="S5774"/>
    </row>
    <row r="5775" spans="1:19" x14ac:dyDescent="0.25">
      <c r="A5775" s="1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/>
      <c r="P5775"/>
      <c r="Q5775"/>
      <c r="R5775"/>
      <c r="S5775"/>
    </row>
    <row r="5776" spans="1:19" x14ac:dyDescent="0.25">
      <c r="A5776" s="1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/>
      <c r="P5776"/>
      <c r="Q5776"/>
      <c r="R5776"/>
      <c r="S5776"/>
    </row>
    <row r="5777" spans="1:19" x14ac:dyDescent="0.25">
      <c r="A5777" s="1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/>
      <c r="P5777"/>
      <c r="Q5777"/>
      <c r="R5777"/>
      <c r="S5777"/>
    </row>
    <row r="5778" spans="1:19" x14ac:dyDescent="0.25">
      <c r="A5778" s="1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/>
      <c r="P5778"/>
      <c r="Q5778"/>
      <c r="R5778"/>
      <c r="S5778"/>
    </row>
    <row r="5779" spans="1:19" x14ac:dyDescent="0.25">
      <c r="A5779" s="1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/>
      <c r="P5779"/>
      <c r="Q5779"/>
      <c r="R5779"/>
      <c r="S5779"/>
    </row>
    <row r="5780" spans="1:19" x14ac:dyDescent="0.25">
      <c r="A5780" s="1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/>
      <c r="P5780"/>
      <c r="Q5780"/>
      <c r="R5780"/>
      <c r="S5780"/>
    </row>
    <row r="5781" spans="1:19" x14ac:dyDescent="0.25">
      <c r="A5781" s="1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/>
      <c r="P5781"/>
      <c r="Q5781"/>
      <c r="R5781"/>
      <c r="S5781"/>
    </row>
    <row r="5782" spans="1:19" x14ac:dyDescent="0.25">
      <c r="A5782" s="1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/>
      <c r="P5782"/>
      <c r="Q5782"/>
      <c r="R5782"/>
      <c r="S5782"/>
    </row>
    <row r="5783" spans="1:19" x14ac:dyDescent="0.25">
      <c r="A5783" s="1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/>
      <c r="P5783"/>
      <c r="Q5783"/>
      <c r="R5783"/>
      <c r="S5783"/>
    </row>
    <row r="5784" spans="1:19" x14ac:dyDescent="0.25">
      <c r="A5784" s="1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/>
      <c r="P5784"/>
      <c r="Q5784"/>
      <c r="R5784"/>
      <c r="S5784"/>
    </row>
    <row r="5785" spans="1:19" x14ac:dyDescent="0.25">
      <c r="A5785" s="1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/>
      <c r="P5785"/>
      <c r="Q5785"/>
      <c r="R5785"/>
      <c r="S5785"/>
    </row>
    <row r="5786" spans="1:19" x14ac:dyDescent="0.25">
      <c r="A5786" s="1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/>
      <c r="P5786"/>
      <c r="Q5786"/>
      <c r="R5786"/>
      <c r="S5786"/>
    </row>
    <row r="5787" spans="1:19" x14ac:dyDescent="0.25">
      <c r="A5787" s="1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/>
      <c r="P5787"/>
      <c r="Q5787"/>
      <c r="R5787"/>
      <c r="S5787"/>
    </row>
    <row r="5788" spans="1:19" x14ac:dyDescent="0.25">
      <c r="A5788" s="1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/>
      <c r="P5788"/>
      <c r="Q5788"/>
      <c r="R5788"/>
      <c r="S5788"/>
    </row>
    <row r="5789" spans="1:19" x14ac:dyDescent="0.25">
      <c r="A5789" s="1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/>
      <c r="P5789"/>
      <c r="Q5789"/>
      <c r="R5789"/>
      <c r="S5789"/>
    </row>
    <row r="5790" spans="1:19" x14ac:dyDescent="0.25">
      <c r="A5790" s="1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/>
      <c r="P5790"/>
      <c r="Q5790"/>
      <c r="R5790"/>
      <c r="S5790"/>
    </row>
    <row r="5791" spans="1:19" x14ac:dyDescent="0.25">
      <c r="A5791" s="1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/>
      <c r="P5791"/>
      <c r="Q5791"/>
      <c r="R5791"/>
      <c r="S5791"/>
    </row>
    <row r="5792" spans="1:19" x14ac:dyDescent="0.25">
      <c r="A5792" s="1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/>
      <c r="P5792"/>
      <c r="Q5792"/>
      <c r="R5792"/>
      <c r="S5792"/>
    </row>
    <row r="5793" spans="1:19" x14ac:dyDescent="0.25">
      <c r="A5793" s="1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/>
      <c r="P5793"/>
      <c r="Q5793"/>
      <c r="R5793"/>
      <c r="S5793"/>
    </row>
    <row r="5794" spans="1:19" x14ac:dyDescent="0.25">
      <c r="A5794" s="1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/>
      <c r="P5794"/>
      <c r="Q5794"/>
      <c r="R5794"/>
      <c r="S5794"/>
    </row>
    <row r="5795" spans="1:19" x14ac:dyDescent="0.25">
      <c r="A5795" s="1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/>
      <c r="P5795"/>
      <c r="Q5795"/>
      <c r="R5795"/>
      <c r="S5795"/>
    </row>
    <row r="5796" spans="1:19" x14ac:dyDescent="0.25">
      <c r="A5796" s="1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/>
      <c r="P5796"/>
      <c r="Q5796"/>
      <c r="R5796"/>
      <c r="S5796"/>
    </row>
    <row r="5797" spans="1:19" x14ac:dyDescent="0.25">
      <c r="A5797" s="1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/>
      <c r="P5797"/>
      <c r="Q5797"/>
      <c r="R5797"/>
      <c r="S5797"/>
    </row>
    <row r="5798" spans="1:19" x14ac:dyDescent="0.25">
      <c r="A5798" s="1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/>
      <c r="P5798"/>
      <c r="Q5798"/>
      <c r="R5798"/>
      <c r="S5798"/>
    </row>
    <row r="5799" spans="1:19" x14ac:dyDescent="0.25">
      <c r="A5799" s="1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/>
      <c r="P5799"/>
      <c r="Q5799"/>
      <c r="R5799"/>
      <c r="S5799"/>
    </row>
    <row r="5800" spans="1:19" x14ac:dyDescent="0.25">
      <c r="A5800" s="1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/>
      <c r="P5800"/>
      <c r="Q5800"/>
      <c r="R5800"/>
      <c r="S5800"/>
    </row>
    <row r="5801" spans="1:19" x14ac:dyDescent="0.25">
      <c r="A5801" s="1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/>
      <c r="P5801"/>
      <c r="Q5801"/>
      <c r="R5801"/>
      <c r="S5801"/>
    </row>
    <row r="5802" spans="1:19" x14ac:dyDescent="0.25">
      <c r="A5802" s="1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/>
      <c r="P5802"/>
      <c r="Q5802"/>
      <c r="R5802"/>
      <c r="S5802"/>
    </row>
    <row r="5803" spans="1:19" x14ac:dyDescent="0.25">
      <c r="A5803" s="1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/>
      <c r="P5803"/>
      <c r="Q5803"/>
      <c r="R5803"/>
      <c r="S5803"/>
    </row>
    <row r="5804" spans="1:19" x14ac:dyDescent="0.25">
      <c r="A5804" s="1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/>
      <c r="P5804"/>
      <c r="Q5804"/>
      <c r="R5804"/>
      <c r="S5804"/>
    </row>
    <row r="5805" spans="1:19" x14ac:dyDescent="0.25">
      <c r="A5805" s="1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/>
      <c r="P5805"/>
      <c r="Q5805"/>
      <c r="R5805"/>
      <c r="S5805"/>
    </row>
    <row r="5806" spans="1:19" x14ac:dyDescent="0.25">
      <c r="A5806" s="1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/>
      <c r="P5806"/>
      <c r="Q5806"/>
      <c r="R5806"/>
      <c r="S5806"/>
    </row>
    <row r="5807" spans="1:19" x14ac:dyDescent="0.25">
      <c r="A5807" s="1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/>
      <c r="P5807"/>
      <c r="Q5807"/>
      <c r="R5807"/>
      <c r="S5807"/>
    </row>
    <row r="5808" spans="1:19" x14ac:dyDescent="0.25">
      <c r="A5808" s="1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/>
      <c r="P5808"/>
      <c r="Q5808"/>
      <c r="R5808"/>
      <c r="S5808"/>
    </row>
    <row r="5809" spans="1:19" x14ac:dyDescent="0.25">
      <c r="A5809" s="1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/>
      <c r="P5809"/>
      <c r="Q5809"/>
      <c r="R5809"/>
      <c r="S5809"/>
    </row>
    <row r="5810" spans="1:19" x14ac:dyDescent="0.25">
      <c r="A5810" s="1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/>
      <c r="P5810"/>
      <c r="Q5810"/>
      <c r="R5810"/>
      <c r="S5810"/>
    </row>
    <row r="5811" spans="1:19" x14ac:dyDescent="0.25">
      <c r="A5811" s="1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/>
      <c r="P5811"/>
      <c r="Q5811"/>
      <c r="R5811"/>
      <c r="S5811"/>
    </row>
    <row r="5812" spans="1:19" x14ac:dyDescent="0.25">
      <c r="A5812" s="1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/>
      <c r="P5812"/>
      <c r="Q5812"/>
      <c r="R5812"/>
      <c r="S5812"/>
    </row>
    <row r="5813" spans="1:19" x14ac:dyDescent="0.25">
      <c r="A5813" s="1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/>
      <c r="P5813"/>
      <c r="Q5813"/>
      <c r="R5813"/>
      <c r="S5813"/>
    </row>
    <row r="5814" spans="1:19" x14ac:dyDescent="0.25">
      <c r="A5814" s="1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/>
      <c r="P5814"/>
      <c r="Q5814"/>
      <c r="R5814"/>
      <c r="S5814"/>
    </row>
    <row r="5815" spans="1:19" x14ac:dyDescent="0.25">
      <c r="A5815" s="1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/>
      <c r="P5815"/>
      <c r="Q5815"/>
      <c r="R5815"/>
      <c r="S5815"/>
    </row>
    <row r="5816" spans="1:19" x14ac:dyDescent="0.25">
      <c r="A5816" s="1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/>
      <c r="P5816"/>
      <c r="Q5816"/>
      <c r="R5816"/>
      <c r="S5816"/>
    </row>
    <row r="5817" spans="1:19" x14ac:dyDescent="0.25">
      <c r="A5817" s="1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/>
      <c r="P5817"/>
      <c r="Q5817"/>
      <c r="R5817"/>
      <c r="S5817"/>
    </row>
    <row r="5818" spans="1:19" x14ac:dyDescent="0.25">
      <c r="A5818" s="1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/>
      <c r="P5818"/>
      <c r="Q5818"/>
      <c r="R5818"/>
      <c r="S5818"/>
    </row>
    <row r="5819" spans="1:19" x14ac:dyDescent="0.25">
      <c r="A5819" s="1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/>
      <c r="P5819"/>
      <c r="Q5819"/>
      <c r="R5819"/>
      <c r="S5819"/>
    </row>
    <row r="5820" spans="1:19" x14ac:dyDescent="0.25">
      <c r="A5820" s="1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/>
      <c r="P5820"/>
      <c r="Q5820"/>
      <c r="R5820"/>
      <c r="S5820"/>
    </row>
    <row r="5821" spans="1:19" x14ac:dyDescent="0.25">
      <c r="A5821" s="1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/>
      <c r="P5821"/>
      <c r="Q5821"/>
      <c r="R5821"/>
      <c r="S5821"/>
    </row>
    <row r="5822" spans="1:19" x14ac:dyDescent="0.25">
      <c r="A5822" s="1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/>
      <c r="P5822"/>
      <c r="Q5822"/>
      <c r="R5822"/>
      <c r="S5822"/>
    </row>
    <row r="5823" spans="1:19" x14ac:dyDescent="0.25">
      <c r="A5823" s="1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/>
      <c r="P5823"/>
      <c r="Q5823"/>
      <c r="R5823"/>
      <c r="S5823"/>
    </row>
    <row r="5824" spans="1:19" x14ac:dyDescent="0.25">
      <c r="A5824" s="1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/>
      <c r="P5824"/>
      <c r="Q5824"/>
      <c r="R5824"/>
      <c r="S5824"/>
    </row>
    <row r="5825" spans="1:19" x14ac:dyDescent="0.25">
      <c r="A5825" s="1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/>
      <c r="P5825"/>
      <c r="Q5825"/>
      <c r="R5825"/>
      <c r="S5825"/>
    </row>
    <row r="5826" spans="1:19" x14ac:dyDescent="0.25">
      <c r="A5826" s="1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/>
      <c r="P5826"/>
      <c r="Q5826"/>
      <c r="R5826"/>
      <c r="S5826"/>
    </row>
    <row r="5827" spans="1:19" x14ac:dyDescent="0.25">
      <c r="A5827" s="1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/>
      <c r="P5827"/>
      <c r="Q5827"/>
      <c r="R5827"/>
      <c r="S5827"/>
    </row>
    <row r="5828" spans="1:19" x14ac:dyDescent="0.25">
      <c r="A5828" s="1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/>
      <c r="P5828"/>
      <c r="Q5828"/>
      <c r="R5828"/>
      <c r="S5828"/>
    </row>
    <row r="5829" spans="1:19" x14ac:dyDescent="0.25">
      <c r="A5829" s="1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/>
      <c r="P5829"/>
      <c r="Q5829"/>
      <c r="R5829"/>
      <c r="S5829"/>
    </row>
    <row r="5830" spans="1:19" x14ac:dyDescent="0.25">
      <c r="A5830" s="1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/>
      <c r="P5830"/>
      <c r="Q5830"/>
      <c r="R5830"/>
      <c r="S5830"/>
    </row>
    <row r="5831" spans="1:19" x14ac:dyDescent="0.25">
      <c r="A5831" s="1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/>
      <c r="P5831"/>
      <c r="Q5831"/>
      <c r="R5831"/>
      <c r="S5831"/>
    </row>
    <row r="5832" spans="1:19" x14ac:dyDescent="0.25">
      <c r="A5832" s="1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/>
      <c r="P5832"/>
      <c r="Q5832"/>
      <c r="R5832"/>
      <c r="S5832"/>
    </row>
    <row r="5833" spans="1:19" x14ac:dyDescent="0.25">
      <c r="A5833" s="1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/>
      <c r="P5833"/>
      <c r="Q5833"/>
      <c r="R5833"/>
      <c r="S5833"/>
    </row>
    <row r="5834" spans="1:19" x14ac:dyDescent="0.25">
      <c r="A5834" s="1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/>
      <c r="P5834"/>
      <c r="Q5834"/>
      <c r="R5834"/>
      <c r="S5834"/>
    </row>
    <row r="5835" spans="1:19" x14ac:dyDescent="0.25">
      <c r="A5835" s="1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/>
      <c r="P5835"/>
      <c r="Q5835"/>
      <c r="R5835"/>
      <c r="S5835"/>
    </row>
    <row r="5836" spans="1:19" x14ac:dyDescent="0.25">
      <c r="A5836" s="1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/>
      <c r="P5836"/>
      <c r="Q5836"/>
      <c r="R5836"/>
      <c r="S5836"/>
    </row>
    <row r="5837" spans="1:19" x14ac:dyDescent="0.25">
      <c r="A5837" s="1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/>
      <c r="P5837"/>
      <c r="Q5837"/>
      <c r="R5837"/>
      <c r="S5837"/>
    </row>
    <row r="5838" spans="1:19" x14ac:dyDescent="0.25">
      <c r="A5838" s="1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/>
      <c r="P5838"/>
      <c r="Q5838"/>
      <c r="R5838"/>
      <c r="S5838"/>
    </row>
    <row r="5839" spans="1:19" x14ac:dyDescent="0.25">
      <c r="A5839" s="1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/>
      <c r="P5839"/>
      <c r="Q5839"/>
      <c r="R5839"/>
      <c r="S5839"/>
    </row>
    <row r="5840" spans="1:19" x14ac:dyDescent="0.25">
      <c r="A5840" s="1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/>
      <c r="P5840"/>
      <c r="Q5840"/>
      <c r="R5840"/>
      <c r="S5840"/>
    </row>
    <row r="5841" spans="1:19" x14ac:dyDescent="0.25">
      <c r="A5841" s="1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/>
      <c r="P5841"/>
      <c r="Q5841"/>
      <c r="R5841"/>
      <c r="S5841"/>
    </row>
    <row r="5842" spans="1:19" x14ac:dyDescent="0.25">
      <c r="A5842" s="1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/>
      <c r="P5842"/>
      <c r="Q5842"/>
      <c r="R5842"/>
      <c r="S5842"/>
    </row>
    <row r="5843" spans="1:19" x14ac:dyDescent="0.25">
      <c r="A5843" s="1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/>
      <c r="P5843"/>
      <c r="Q5843"/>
      <c r="R5843"/>
      <c r="S5843"/>
    </row>
    <row r="5844" spans="1:19" x14ac:dyDescent="0.25">
      <c r="A5844" s="1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/>
      <c r="P5844"/>
      <c r="Q5844"/>
      <c r="R5844"/>
      <c r="S5844"/>
    </row>
    <row r="5845" spans="1:19" x14ac:dyDescent="0.25">
      <c r="A5845" s="1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/>
      <c r="P5845"/>
      <c r="Q5845"/>
      <c r="R5845"/>
      <c r="S5845"/>
    </row>
    <row r="5846" spans="1:19" x14ac:dyDescent="0.25">
      <c r="A5846" s="1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/>
      <c r="P5846"/>
      <c r="Q5846"/>
      <c r="R5846"/>
      <c r="S5846"/>
    </row>
    <row r="5847" spans="1:19" x14ac:dyDescent="0.25">
      <c r="A5847" s="1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/>
      <c r="P5847"/>
      <c r="Q5847"/>
      <c r="R5847"/>
      <c r="S5847"/>
    </row>
    <row r="5848" spans="1:19" x14ac:dyDescent="0.25">
      <c r="A5848" s="1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/>
      <c r="P5848"/>
      <c r="Q5848"/>
      <c r="R5848"/>
      <c r="S5848"/>
    </row>
    <row r="5849" spans="1:19" x14ac:dyDescent="0.25">
      <c r="A5849" s="1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/>
      <c r="P5849"/>
      <c r="Q5849"/>
      <c r="R5849"/>
      <c r="S5849"/>
    </row>
    <row r="5850" spans="1:19" x14ac:dyDescent="0.25">
      <c r="A5850" s="1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/>
      <c r="P5850"/>
      <c r="Q5850"/>
      <c r="R5850"/>
      <c r="S5850"/>
    </row>
    <row r="5851" spans="1:19" x14ac:dyDescent="0.25">
      <c r="A5851" s="1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/>
      <c r="P5851"/>
      <c r="Q5851"/>
      <c r="R5851"/>
      <c r="S5851"/>
    </row>
    <row r="5852" spans="1:19" x14ac:dyDescent="0.25">
      <c r="A5852" s="1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/>
      <c r="P5852"/>
      <c r="Q5852"/>
      <c r="R5852"/>
      <c r="S5852"/>
    </row>
    <row r="5853" spans="1:19" x14ac:dyDescent="0.25">
      <c r="A5853" s="1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/>
      <c r="P5853"/>
      <c r="Q5853"/>
      <c r="R5853"/>
      <c r="S5853"/>
    </row>
    <row r="5854" spans="1:19" x14ac:dyDescent="0.25">
      <c r="A5854" s="1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/>
      <c r="P5854"/>
      <c r="Q5854"/>
      <c r="R5854"/>
      <c r="S5854"/>
    </row>
    <row r="5855" spans="1:19" x14ac:dyDescent="0.25">
      <c r="A5855" s="1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/>
      <c r="P5855"/>
      <c r="Q5855"/>
      <c r="R5855"/>
      <c r="S5855"/>
    </row>
    <row r="5856" spans="1:19" x14ac:dyDescent="0.25">
      <c r="A5856" s="1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/>
      <c r="P5856"/>
      <c r="Q5856"/>
      <c r="R5856"/>
      <c r="S5856"/>
    </row>
    <row r="5857" spans="1:19" x14ac:dyDescent="0.25">
      <c r="A5857" s="1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/>
      <c r="P5857"/>
      <c r="Q5857"/>
      <c r="R5857"/>
      <c r="S5857"/>
    </row>
    <row r="5858" spans="1:19" x14ac:dyDescent="0.25">
      <c r="A5858" s="1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/>
      <c r="P5858"/>
      <c r="Q5858"/>
      <c r="R5858"/>
      <c r="S5858"/>
    </row>
    <row r="5859" spans="1:19" x14ac:dyDescent="0.25">
      <c r="A5859" s="1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/>
      <c r="P5859"/>
      <c r="Q5859"/>
      <c r="R5859"/>
      <c r="S5859"/>
    </row>
    <row r="5860" spans="1:19" x14ac:dyDescent="0.25">
      <c r="A5860" s="1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/>
      <c r="P5860"/>
      <c r="Q5860"/>
      <c r="R5860"/>
      <c r="S5860"/>
    </row>
    <row r="5861" spans="1:19" x14ac:dyDescent="0.25">
      <c r="A5861" s="1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/>
      <c r="P5861"/>
      <c r="Q5861"/>
      <c r="R5861"/>
      <c r="S5861"/>
    </row>
    <row r="5862" spans="1:19" x14ac:dyDescent="0.25">
      <c r="A5862" s="1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/>
      <c r="P5862"/>
      <c r="Q5862"/>
      <c r="R5862"/>
      <c r="S5862"/>
    </row>
    <row r="5863" spans="1:19" x14ac:dyDescent="0.25">
      <c r="A5863" s="1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/>
      <c r="P5863"/>
      <c r="Q5863"/>
      <c r="R5863"/>
      <c r="S5863"/>
    </row>
    <row r="5864" spans="1:19" x14ac:dyDescent="0.25">
      <c r="A5864" s="1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/>
      <c r="P5864"/>
      <c r="Q5864"/>
      <c r="R5864"/>
      <c r="S5864"/>
    </row>
    <row r="5865" spans="1:19" x14ac:dyDescent="0.25">
      <c r="A5865" s="1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/>
      <c r="P5865"/>
      <c r="Q5865"/>
      <c r="R5865"/>
      <c r="S5865"/>
    </row>
    <row r="5866" spans="1:19" x14ac:dyDescent="0.25">
      <c r="A5866" s="1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/>
      <c r="P5866"/>
      <c r="Q5866"/>
      <c r="R5866"/>
      <c r="S5866"/>
    </row>
    <row r="5867" spans="1:19" x14ac:dyDescent="0.25">
      <c r="A5867" s="1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/>
      <c r="P5867"/>
      <c r="Q5867"/>
      <c r="R5867"/>
      <c r="S5867"/>
    </row>
    <row r="5868" spans="1:19" x14ac:dyDescent="0.25">
      <c r="A5868" s="1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/>
      <c r="P5868"/>
      <c r="Q5868"/>
      <c r="R5868"/>
      <c r="S5868"/>
    </row>
    <row r="5869" spans="1:19" x14ac:dyDescent="0.25">
      <c r="A5869" s="1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/>
      <c r="P5869"/>
      <c r="Q5869"/>
      <c r="R5869"/>
      <c r="S5869"/>
    </row>
    <row r="5870" spans="1:19" x14ac:dyDescent="0.25">
      <c r="A5870" s="1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/>
      <c r="P5870"/>
      <c r="Q5870"/>
      <c r="R5870"/>
      <c r="S5870"/>
    </row>
    <row r="5871" spans="1:19" x14ac:dyDescent="0.25">
      <c r="A5871" s="1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/>
      <c r="P5871"/>
      <c r="Q5871"/>
      <c r="R5871"/>
      <c r="S5871"/>
    </row>
    <row r="5872" spans="1:19" x14ac:dyDescent="0.25">
      <c r="A5872" s="1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/>
      <c r="P5872"/>
      <c r="Q5872"/>
      <c r="R5872"/>
      <c r="S5872"/>
    </row>
    <row r="5873" spans="1:19" x14ac:dyDescent="0.25">
      <c r="A5873" s="1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/>
      <c r="P5873"/>
      <c r="Q5873"/>
      <c r="R5873"/>
      <c r="S5873"/>
    </row>
    <row r="5874" spans="1:19" x14ac:dyDescent="0.25">
      <c r="A5874" s="1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/>
      <c r="P5874"/>
      <c r="Q5874"/>
      <c r="R5874"/>
      <c r="S5874"/>
    </row>
    <row r="5875" spans="1:19" x14ac:dyDescent="0.25">
      <c r="A5875" s="1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/>
      <c r="P5875"/>
      <c r="Q5875"/>
      <c r="R5875"/>
      <c r="S5875"/>
    </row>
    <row r="5876" spans="1:19" x14ac:dyDescent="0.25">
      <c r="A5876" s="1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/>
      <c r="P5876"/>
      <c r="Q5876"/>
      <c r="R5876"/>
      <c r="S5876"/>
    </row>
    <row r="5877" spans="1:19" x14ac:dyDescent="0.25">
      <c r="A5877" s="1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/>
      <c r="P5877"/>
      <c r="Q5877"/>
      <c r="R5877"/>
      <c r="S5877"/>
    </row>
    <row r="5878" spans="1:19" x14ac:dyDescent="0.25">
      <c r="A5878" s="1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/>
      <c r="P5878"/>
      <c r="Q5878"/>
      <c r="R5878"/>
      <c r="S5878"/>
    </row>
    <row r="5879" spans="1:19" x14ac:dyDescent="0.25">
      <c r="A5879" s="1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/>
      <c r="P5879"/>
      <c r="Q5879"/>
      <c r="R5879"/>
      <c r="S5879"/>
    </row>
    <row r="5880" spans="1:19" x14ac:dyDescent="0.25">
      <c r="A5880" s="1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/>
      <c r="P5880"/>
      <c r="Q5880"/>
      <c r="R5880"/>
      <c r="S5880"/>
    </row>
    <row r="5881" spans="1:19" x14ac:dyDescent="0.25">
      <c r="A5881" s="1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/>
      <c r="P5881"/>
      <c r="Q5881"/>
      <c r="R5881"/>
      <c r="S5881"/>
    </row>
    <row r="5882" spans="1:19" x14ac:dyDescent="0.25">
      <c r="A5882" s="1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/>
      <c r="P5882"/>
      <c r="Q5882"/>
      <c r="R5882"/>
      <c r="S5882"/>
    </row>
    <row r="5883" spans="1:19" x14ac:dyDescent="0.25">
      <c r="A5883" s="1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/>
      <c r="P5883"/>
      <c r="Q5883"/>
      <c r="R5883"/>
      <c r="S5883"/>
    </row>
    <row r="5884" spans="1:19" x14ac:dyDescent="0.25">
      <c r="A5884" s="1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/>
      <c r="P5884"/>
      <c r="Q5884"/>
      <c r="R5884"/>
      <c r="S5884"/>
    </row>
    <row r="5885" spans="1:19" x14ac:dyDescent="0.25">
      <c r="A5885" s="1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/>
      <c r="P5885"/>
      <c r="Q5885"/>
      <c r="R5885"/>
      <c r="S5885"/>
    </row>
    <row r="5886" spans="1:19" x14ac:dyDescent="0.25">
      <c r="A5886" s="1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/>
      <c r="P5886"/>
      <c r="Q5886"/>
      <c r="R5886"/>
      <c r="S5886"/>
    </row>
    <row r="5887" spans="1:19" x14ac:dyDescent="0.25">
      <c r="A5887" s="1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/>
      <c r="P5887"/>
      <c r="Q5887"/>
      <c r="R5887"/>
      <c r="S5887"/>
    </row>
    <row r="5888" spans="1:19" x14ac:dyDescent="0.25">
      <c r="A5888" s="1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/>
      <c r="P5888"/>
      <c r="Q5888"/>
      <c r="R5888"/>
      <c r="S5888"/>
    </row>
    <row r="5889" spans="1:19" x14ac:dyDescent="0.25">
      <c r="A5889" s="1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/>
      <c r="P5889"/>
      <c r="Q5889"/>
      <c r="R5889"/>
      <c r="S5889"/>
    </row>
    <row r="5890" spans="1:19" x14ac:dyDescent="0.25">
      <c r="A5890" s="1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/>
      <c r="P5890"/>
      <c r="Q5890"/>
      <c r="R5890"/>
      <c r="S5890"/>
    </row>
    <row r="5891" spans="1:19" x14ac:dyDescent="0.25">
      <c r="A5891" s="1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/>
      <c r="P5891"/>
      <c r="Q5891"/>
      <c r="R5891"/>
      <c r="S5891"/>
    </row>
    <row r="5892" spans="1:19" x14ac:dyDescent="0.25">
      <c r="A5892" s="1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/>
      <c r="P5892"/>
      <c r="Q5892"/>
      <c r="R5892"/>
      <c r="S5892"/>
    </row>
    <row r="5893" spans="1:19" x14ac:dyDescent="0.25">
      <c r="A5893" s="1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/>
      <c r="P5893"/>
      <c r="Q5893"/>
      <c r="R5893"/>
      <c r="S5893"/>
    </row>
    <row r="5894" spans="1:19" x14ac:dyDescent="0.25">
      <c r="A5894" s="1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/>
      <c r="P5894"/>
      <c r="Q5894"/>
      <c r="R5894"/>
      <c r="S5894"/>
    </row>
    <row r="5895" spans="1:19" x14ac:dyDescent="0.25">
      <c r="A5895" s="1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/>
      <c r="P5895"/>
      <c r="Q5895"/>
      <c r="R5895"/>
      <c r="S5895"/>
    </row>
    <row r="5896" spans="1:19" x14ac:dyDescent="0.25">
      <c r="A5896" s="1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/>
      <c r="P5896"/>
      <c r="Q5896"/>
      <c r="R5896"/>
      <c r="S5896"/>
    </row>
    <row r="5897" spans="1:19" x14ac:dyDescent="0.25">
      <c r="A5897" s="1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/>
      <c r="P5897"/>
      <c r="Q5897"/>
      <c r="R5897"/>
      <c r="S5897"/>
    </row>
    <row r="5898" spans="1:19" x14ac:dyDescent="0.25">
      <c r="A5898" s="1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/>
      <c r="P5898"/>
      <c r="Q5898"/>
      <c r="R5898"/>
      <c r="S5898"/>
    </row>
    <row r="5899" spans="1:19" x14ac:dyDescent="0.25">
      <c r="A5899" s="1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/>
      <c r="P5899"/>
      <c r="Q5899"/>
      <c r="R5899"/>
      <c r="S5899"/>
    </row>
    <row r="5900" spans="1:19" x14ac:dyDescent="0.25">
      <c r="A5900" s="1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/>
      <c r="P5900"/>
      <c r="Q5900"/>
      <c r="R5900"/>
      <c r="S5900"/>
    </row>
    <row r="5901" spans="1:19" x14ac:dyDescent="0.25">
      <c r="A5901" s="1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/>
      <c r="P5901"/>
      <c r="Q5901"/>
      <c r="R5901"/>
      <c r="S5901"/>
    </row>
    <row r="5902" spans="1:19" x14ac:dyDescent="0.25">
      <c r="A5902" s="1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/>
      <c r="P5902"/>
      <c r="Q5902"/>
      <c r="R5902"/>
      <c r="S5902"/>
    </row>
    <row r="5903" spans="1:19" x14ac:dyDescent="0.25">
      <c r="A5903" s="1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/>
      <c r="P5903"/>
      <c r="Q5903"/>
      <c r="R5903"/>
      <c r="S5903"/>
    </row>
    <row r="5904" spans="1:19" x14ac:dyDescent="0.25">
      <c r="A5904" s="1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/>
      <c r="P5904"/>
      <c r="Q5904"/>
      <c r="R5904"/>
      <c r="S5904"/>
    </row>
    <row r="5905" spans="1:19" x14ac:dyDescent="0.25">
      <c r="A5905" s="1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/>
      <c r="P5905"/>
      <c r="Q5905"/>
      <c r="R5905"/>
      <c r="S5905"/>
    </row>
    <row r="5906" spans="1:19" x14ac:dyDescent="0.25">
      <c r="A5906" s="1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/>
      <c r="P5906"/>
      <c r="Q5906"/>
      <c r="R5906"/>
      <c r="S5906"/>
    </row>
    <row r="5907" spans="1:19" x14ac:dyDescent="0.25">
      <c r="A5907" s="1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/>
      <c r="P5907"/>
      <c r="Q5907"/>
      <c r="R5907"/>
      <c r="S5907"/>
    </row>
    <row r="5908" spans="1:19" x14ac:dyDescent="0.25">
      <c r="A5908" s="1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/>
      <c r="P5908"/>
      <c r="Q5908"/>
      <c r="R5908"/>
      <c r="S5908"/>
    </row>
    <row r="5909" spans="1:19" x14ac:dyDescent="0.25">
      <c r="A5909" s="1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/>
      <c r="P5909"/>
      <c r="Q5909"/>
      <c r="R5909"/>
      <c r="S5909"/>
    </row>
    <row r="5910" spans="1:19" x14ac:dyDescent="0.25">
      <c r="A5910" s="1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/>
      <c r="P5910"/>
      <c r="Q5910"/>
      <c r="R5910"/>
      <c r="S5910"/>
    </row>
    <row r="5911" spans="1:19" x14ac:dyDescent="0.25">
      <c r="A5911" s="1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/>
      <c r="P5911"/>
      <c r="Q5911"/>
      <c r="R5911"/>
      <c r="S5911"/>
    </row>
    <row r="5912" spans="1:19" x14ac:dyDescent="0.25">
      <c r="A5912" s="1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/>
      <c r="P5912"/>
      <c r="Q5912"/>
      <c r="R5912"/>
      <c r="S5912"/>
    </row>
    <row r="5913" spans="1:19" x14ac:dyDescent="0.25">
      <c r="A5913" s="1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/>
      <c r="P5913"/>
      <c r="Q5913"/>
      <c r="R5913"/>
      <c r="S5913"/>
    </row>
    <row r="5914" spans="1:19" x14ac:dyDescent="0.25">
      <c r="A5914" s="1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/>
      <c r="P5914"/>
      <c r="Q5914"/>
      <c r="R5914"/>
      <c r="S5914"/>
    </row>
    <row r="5915" spans="1:19" x14ac:dyDescent="0.25">
      <c r="A5915" s="1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/>
      <c r="P5915"/>
      <c r="Q5915"/>
      <c r="R5915"/>
      <c r="S5915"/>
    </row>
    <row r="5916" spans="1:19" x14ac:dyDescent="0.25">
      <c r="A5916" s="1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/>
      <c r="P5916"/>
      <c r="Q5916"/>
      <c r="R5916"/>
      <c r="S5916"/>
    </row>
    <row r="5917" spans="1:19" x14ac:dyDescent="0.25">
      <c r="A5917" s="1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/>
      <c r="P5917"/>
      <c r="Q5917"/>
      <c r="R5917"/>
      <c r="S5917"/>
    </row>
    <row r="5918" spans="1:19" x14ac:dyDescent="0.25">
      <c r="A5918" s="1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/>
      <c r="P5918"/>
      <c r="Q5918"/>
      <c r="R5918"/>
      <c r="S5918"/>
    </row>
    <row r="5919" spans="1:19" x14ac:dyDescent="0.25">
      <c r="A5919" s="1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/>
      <c r="P5919"/>
      <c r="Q5919"/>
      <c r="R5919"/>
      <c r="S5919"/>
    </row>
    <row r="5920" spans="1:19" x14ac:dyDescent="0.25">
      <c r="A5920" s="1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/>
      <c r="P5920"/>
      <c r="Q5920"/>
      <c r="R5920"/>
      <c r="S5920"/>
    </row>
    <row r="5921" spans="1:19" x14ac:dyDescent="0.25">
      <c r="A5921" s="1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/>
      <c r="P5921"/>
      <c r="Q5921"/>
      <c r="R5921"/>
      <c r="S5921"/>
    </row>
    <row r="5922" spans="1:19" x14ac:dyDescent="0.25">
      <c r="A5922" s="1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/>
      <c r="P5922"/>
      <c r="Q5922"/>
      <c r="R5922"/>
      <c r="S5922"/>
    </row>
    <row r="5923" spans="1:19" x14ac:dyDescent="0.25">
      <c r="A5923" s="1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/>
      <c r="P5923"/>
      <c r="Q5923"/>
      <c r="R5923"/>
      <c r="S5923"/>
    </row>
    <row r="5924" spans="1:19" x14ac:dyDescent="0.25">
      <c r="A5924" s="1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/>
      <c r="P5924"/>
      <c r="Q5924"/>
      <c r="R5924"/>
      <c r="S5924"/>
    </row>
    <row r="5925" spans="1:19" x14ac:dyDescent="0.25">
      <c r="A5925" s="1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/>
      <c r="P5925"/>
      <c r="Q5925"/>
      <c r="R5925"/>
      <c r="S5925"/>
    </row>
    <row r="5926" spans="1:19" x14ac:dyDescent="0.25">
      <c r="A5926" s="1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  <c r="P5926"/>
      <c r="Q5926"/>
      <c r="R5926"/>
      <c r="S5926"/>
    </row>
    <row r="5927" spans="1:19" x14ac:dyDescent="0.25">
      <c r="A5927" s="1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  <c r="P5927"/>
      <c r="Q5927"/>
      <c r="R5927"/>
      <c r="S5927"/>
    </row>
    <row r="5928" spans="1:19" x14ac:dyDescent="0.25">
      <c r="A5928" s="1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  <c r="P5928"/>
      <c r="Q5928"/>
      <c r="R5928"/>
      <c r="S5928"/>
    </row>
    <row r="5929" spans="1:19" x14ac:dyDescent="0.25">
      <c r="A5929" s="1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  <c r="P5929"/>
      <c r="Q5929"/>
      <c r="R5929"/>
      <c r="S5929"/>
    </row>
    <row r="5930" spans="1:19" x14ac:dyDescent="0.25">
      <c r="A5930" s="1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  <c r="P5930"/>
      <c r="Q5930"/>
      <c r="R5930"/>
      <c r="S5930"/>
    </row>
    <row r="5931" spans="1:19" x14ac:dyDescent="0.25">
      <c r="A5931" s="1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  <c r="P5931"/>
      <c r="Q5931"/>
      <c r="R5931"/>
      <c r="S5931"/>
    </row>
    <row r="5932" spans="1:19" x14ac:dyDescent="0.25">
      <c r="A5932" s="1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  <c r="P5932"/>
      <c r="Q5932"/>
      <c r="R5932"/>
      <c r="S5932"/>
    </row>
    <row r="5933" spans="1:19" x14ac:dyDescent="0.25">
      <c r="A5933" s="1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  <c r="P5933"/>
      <c r="Q5933"/>
      <c r="R5933"/>
      <c r="S5933"/>
    </row>
    <row r="5934" spans="1:19" x14ac:dyDescent="0.25">
      <c r="A5934" s="1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  <c r="P5934"/>
      <c r="Q5934"/>
      <c r="R5934"/>
      <c r="S5934"/>
    </row>
    <row r="5935" spans="1:19" x14ac:dyDescent="0.25">
      <c r="A5935" s="1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  <c r="P5935"/>
      <c r="Q5935"/>
      <c r="R5935"/>
      <c r="S5935"/>
    </row>
    <row r="5936" spans="1:19" x14ac:dyDescent="0.25">
      <c r="A5936" s="1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  <c r="P5936"/>
      <c r="Q5936"/>
      <c r="R5936"/>
      <c r="S5936"/>
    </row>
    <row r="5937" spans="1:19" x14ac:dyDescent="0.25">
      <c r="A5937" s="1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  <c r="P5937"/>
      <c r="Q5937"/>
      <c r="R5937"/>
      <c r="S5937"/>
    </row>
    <row r="5938" spans="1:19" x14ac:dyDescent="0.25">
      <c r="A5938" s="1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  <c r="P5938"/>
      <c r="Q5938"/>
      <c r="R5938"/>
      <c r="S5938"/>
    </row>
    <row r="5939" spans="1:19" x14ac:dyDescent="0.25">
      <c r="A5939" s="1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  <c r="P5939"/>
      <c r="Q5939"/>
      <c r="R5939"/>
      <c r="S5939"/>
    </row>
    <row r="5940" spans="1:19" x14ac:dyDescent="0.25">
      <c r="A5940" s="1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  <c r="P5940"/>
      <c r="Q5940"/>
      <c r="R5940"/>
      <c r="S5940"/>
    </row>
    <row r="5941" spans="1:19" x14ac:dyDescent="0.25">
      <c r="A5941" s="1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  <c r="P5941"/>
      <c r="Q5941"/>
      <c r="R5941"/>
      <c r="S5941"/>
    </row>
    <row r="5942" spans="1:19" x14ac:dyDescent="0.25">
      <c r="A5942" s="1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  <c r="P5942"/>
      <c r="Q5942"/>
      <c r="R5942"/>
      <c r="S5942"/>
    </row>
    <row r="5943" spans="1:19" x14ac:dyDescent="0.25">
      <c r="A5943" s="1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  <c r="P5943"/>
      <c r="Q5943"/>
      <c r="R5943"/>
      <c r="S5943"/>
    </row>
    <row r="5944" spans="1:19" x14ac:dyDescent="0.25">
      <c r="A5944" s="1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  <c r="P5944"/>
      <c r="Q5944"/>
      <c r="R5944"/>
      <c r="S5944"/>
    </row>
    <row r="5945" spans="1:19" x14ac:dyDescent="0.25">
      <c r="A5945" s="1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  <c r="P5945"/>
      <c r="Q5945"/>
      <c r="R5945"/>
      <c r="S5945"/>
    </row>
    <row r="5946" spans="1:19" x14ac:dyDescent="0.25">
      <c r="A5946" s="1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  <c r="P5946"/>
      <c r="Q5946"/>
      <c r="R5946"/>
      <c r="S5946"/>
    </row>
    <row r="5947" spans="1:19" x14ac:dyDescent="0.25">
      <c r="A5947" s="1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  <c r="P5947"/>
      <c r="Q5947"/>
      <c r="R5947"/>
      <c r="S5947"/>
    </row>
    <row r="5948" spans="1:19" x14ac:dyDescent="0.25">
      <c r="A5948" s="1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  <c r="P5948"/>
      <c r="Q5948"/>
      <c r="R5948"/>
      <c r="S5948"/>
    </row>
    <row r="5949" spans="1:19" x14ac:dyDescent="0.25">
      <c r="A5949" s="1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  <c r="P5949"/>
      <c r="Q5949"/>
      <c r="R5949"/>
      <c r="S5949"/>
    </row>
    <row r="5950" spans="1:19" x14ac:dyDescent="0.25">
      <c r="A5950" s="1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  <c r="P5950"/>
      <c r="Q5950"/>
      <c r="R5950"/>
      <c r="S5950"/>
    </row>
    <row r="5951" spans="1:19" x14ac:dyDescent="0.25">
      <c r="A5951" s="1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  <c r="P5951"/>
      <c r="Q5951"/>
      <c r="R5951"/>
      <c r="S5951"/>
    </row>
    <row r="5952" spans="1:19" x14ac:dyDescent="0.25">
      <c r="A5952" s="1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  <c r="P5952"/>
      <c r="Q5952"/>
      <c r="R5952"/>
      <c r="S5952"/>
    </row>
    <row r="5953" spans="1:19" x14ac:dyDescent="0.25">
      <c r="A5953" s="1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  <c r="P5953"/>
      <c r="Q5953"/>
      <c r="R5953"/>
      <c r="S5953"/>
    </row>
    <row r="5954" spans="1:19" x14ac:dyDescent="0.25">
      <c r="A5954" s="1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  <c r="P5954"/>
      <c r="Q5954"/>
      <c r="R5954"/>
      <c r="S5954"/>
    </row>
    <row r="5955" spans="1:19" x14ac:dyDescent="0.25">
      <c r="A5955" s="1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  <c r="P5955"/>
      <c r="Q5955"/>
      <c r="R5955"/>
      <c r="S5955"/>
    </row>
    <row r="5956" spans="1:19" x14ac:dyDescent="0.25">
      <c r="A5956" s="1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  <c r="P5956"/>
      <c r="Q5956"/>
      <c r="R5956"/>
      <c r="S5956"/>
    </row>
    <row r="5957" spans="1:19" x14ac:dyDescent="0.25">
      <c r="A5957" s="1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  <c r="P5957"/>
      <c r="Q5957"/>
      <c r="R5957"/>
      <c r="S5957"/>
    </row>
    <row r="5958" spans="1:19" x14ac:dyDescent="0.25">
      <c r="A5958" s="1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  <c r="P5958"/>
      <c r="Q5958"/>
      <c r="R5958"/>
      <c r="S5958"/>
    </row>
    <row r="5959" spans="1:19" x14ac:dyDescent="0.25">
      <c r="A5959" s="1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  <c r="P5959"/>
      <c r="Q5959"/>
      <c r="R5959"/>
      <c r="S5959"/>
    </row>
    <row r="5960" spans="1:19" x14ac:dyDescent="0.25">
      <c r="A5960" s="1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  <c r="P5960"/>
      <c r="Q5960"/>
      <c r="R5960"/>
      <c r="S5960"/>
    </row>
    <row r="5961" spans="1:19" x14ac:dyDescent="0.25">
      <c r="A5961" s="1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  <c r="P5961"/>
      <c r="Q5961"/>
      <c r="R5961"/>
      <c r="S5961"/>
    </row>
    <row r="5962" spans="1:19" x14ac:dyDescent="0.25">
      <c r="A5962" s="1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  <c r="P5962"/>
      <c r="Q5962"/>
      <c r="R5962"/>
      <c r="S5962"/>
    </row>
    <row r="5963" spans="1:19" x14ac:dyDescent="0.25">
      <c r="A5963" s="1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  <c r="P5963"/>
      <c r="Q5963"/>
      <c r="R5963"/>
      <c r="S5963"/>
    </row>
    <row r="5964" spans="1:19" x14ac:dyDescent="0.25">
      <c r="A5964" s="1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  <c r="P5964"/>
      <c r="Q5964"/>
      <c r="R5964"/>
      <c r="S5964"/>
    </row>
    <row r="5965" spans="1:19" x14ac:dyDescent="0.25">
      <c r="A5965" s="1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  <c r="P5965"/>
      <c r="Q5965"/>
      <c r="R5965"/>
      <c r="S5965"/>
    </row>
    <row r="5966" spans="1:19" x14ac:dyDescent="0.25">
      <c r="A5966" s="1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  <c r="P5966"/>
      <c r="Q5966"/>
      <c r="R5966"/>
      <c r="S5966"/>
    </row>
    <row r="5967" spans="1:19" x14ac:dyDescent="0.25">
      <c r="A5967" s="1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  <c r="P5967"/>
      <c r="Q5967"/>
      <c r="R5967"/>
      <c r="S5967"/>
    </row>
    <row r="5968" spans="1:19" x14ac:dyDescent="0.25">
      <c r="A5968" s="1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  <c r="P5968"/>
      <c r="Q5968"/>
      <c r="R5968"/>
      <c r="S5968"/>
    </row>
    <row r="5969" spans="1:19" x14ac:dyDescent="0.25">
      <c r="A5969" s="1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  <c r="P5969"/>
      <c r="Q5969"/>
      <c r="R5969"/>
      <c r="S5969"/>
    </row>
    <row r="5970" spans="1:19" x14ac:dyDescent="0.25">
      <c r="A5970" s="1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  <c r="P5970"/>
      <c r="Q5970"/>
      <c r="R5970"/>
      <c r="S5970"/>
    </row>
    <row r="5971" spans="1:19" x14ac:dyDescent="0.25">
      <c r="A5971" s="1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  <c r="P5971"/>
      <c r="Q5971"/>
      <c r="R5971"/>
      <c r="S5971"/>
    </row>
    <row r="5972" spans="1:19" x14ac:dyDescent="0.25">
      <c r="A5972" s="1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  <c r="P5972"/>
      <c r="Q5972"/>
      <c r="R5972"/>
      <c r="S5972"/>
    </row>
    <row r="5973" spans="1:19" x14ac:dyDescent="0.25">
      <c r="A5973" s="1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  <c r="P5973"/>
      <c r="Q5973"/>
      <c r="R5973"/>
      <c r="S5973"/>
    </row>
    <row r="5974" spans="1:19" x14ac:dyDescent="0.25">
      <c r="A5974" s="1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  <c r="P5974"/>
      <c r="Q5974"/>
      <c r="R5974"/>
      <c r="S5974"/>
    </row>
    <row r="5975" spans="1:19" x14ac:dyDescent="0.25">
      <c r="A5975" s="1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  <c r="P5975"/>
      <c r="Q5975"/>
      <c r="R5975"/>
      <c r="S5975"/>
    </row>
    <row r="5976" spans="1:19" x14ac:dyDescent="0.25">
      <c r="A5976" s="1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  <c r="P5976"/>
      <c r="Q5976"/>
      <c r="R5976"/>
      <c r="S5976"/>
    </row>
    <row r="5977" spans="1:19" x14ac:dyDescent="0.25">
      <c r="A5977" s="1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  <c r="P5977"/>
      <c r="Q5977"/>
      <c r="R5977"/>
      <c r="S5977"/>
    </row>
    <row r="5978" spans="1:19" x14ac:dyDescent="0.25">
      <c r="A5978" s="1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  <c r="P5978"/>
      <c r="Q5978"/>
      <c r="R5978"/>
      <c r="S5978"/>
    </row>
    <row r="5979" spans="1:19" x14ac:dyDescent="0.25">
      <c r="A5979" s="1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  <c r="P5979"/>
      <c r="Q5979"/>
      <c r="R5979"/>
      <c r="S5979"/>
    </row>
    <row r="5980" spans="1:19" x14ac:dyDescent="0.25">
      <c r="A5980" s="1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  <c r="P5980"/>
      <c r="Q5980"/>
      <c r="R5980"/>
      <c r="S5980"/>
    </row>
    <row r="5981" spans="1:19" x14ac:dyDescent="0.25">
      <c r="A5981" s="1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  <c r="P5981"/>
      <c r="Q5981"/>
      <c r="R5981"/>
      <c r="S5981"/>
    </row>
    <row r="5982" spans="1:19" x14ac:dyDescent="0.25">
      <c r="A5982" s="1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  <c r="P5982"/>
      <c r="Q5982"/>
      <c r="R5982"/>
      <c r="S5982"/>
    </row>
    <row r="5983" spans="1:19" x14ac:dyDescent="0.25">
      <c r="A5983" s="1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  <c r="P5983"/>
      <c r="Q5983"/>
      <c r="R5983"/>
      <c r="S5983"/>
    </row>
    <row r="5984" spans="1:19" x14ac:dyDescent="0.25">
      <c r="A5984" s="1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  <c r="P5984"/>
      <c r="Q5984"/>
      <c r="R5984"/>
      <c r="S5984"/>
    </row>
    <row r="5985" spans="1:19" x14ac:dyDescent="0.25">
      <c r="A5985" s="1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  <c r="P5985"/>
      <c r="Q5985"/>
      <c r="R5985"/>
      <c r="S5985"/>
    </row>
    <row r="5986" spans="1:19" x14ac:dyDescent="0.25">
      <c r="A5986" s="1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  <c r="P5986"/>
      <c r="Q5986"/>
      <c r="R5986"/>
      <c r="S5986"/>
    </row>
    <row r="5987" spans="1:19" x14ac:dyDescent="0.25">
      <c r="A5987" s="1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  <c r="P5987"/>
      <c r="Q5987"/>
      <c r="R5987"/>
      <c r="S5987"/>
    </row>
    <row r="5988" spans="1:19" x14ac:dyDescent="0.25">
      <c r="A5988" s="1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  <c r="P5988"/>
      <c r="Q5988"/>
      <c r="R5988"/>
      <c r="S5988"/>
    </row>
    <row r="5989" spans="1:19" x14ac:dyDescent="0.25">
      <c r="A5989" s="1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  <c r="P5989"/>
      <c r="Q5989"/>
      <c r="R5989"/>
      <c r="S5989"/>
    </row>
    <row r="5990" spans="1:19" x14ac:dyDescent="0.25">
      <c r="A5990" s="1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  <c r="P5990"/>
      <c r="Q5990"/>
      <c r="R5990"/>
      <c r="S5990"/>
    </row>
    <row r="5991" spans="1:19" x14ac:dyDescent="0.25">
      <c r="A5991" s="1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  <c r="P5991"/>
      <c r="Q5991"/>
      <c r="R5991"/>
      <c r="S5991"/>
    </row>
    <row r="5992" spans="1:19" x14ac:dyDescent="0.25">
      <c r="A5992" s="1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  <c r="P5992"/>
      <c r="Q5992"/>
      <c r="R5992"/>
      <c r="S5992"/>
    </row>
    <row r="5993" spans="1:19" x14ac:dyDescent="0.25">
      <c r="A5993" s="1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  <c r="P5993"/>
      <c r="Q5993"/>
      <c r="R5993"/>
      <c r="S5993"/>
    </row>
    <row r="5994" spans="1:19" x14ac:dyDescent="0.25">
      <c r="A5994" s="1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  <c r="P5994"/>
      <c r="Q5994"/>
      <c r="R5994"/>
      <c r="S5994"/>
    </row>
    <row r="5995" spans="1:19" x14ac:dyDescent="0.25">
      <c r="A5995" s="1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  <c r="P5995"/>
      <c r="Q5995"/>
      <c r="R5995"/>
      <c r="S5995"/>
    </row>
    <row r="5996" spans="1:19" x14ac:dyDescent="0.25">
      <c r="A5996" s="1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  <c r="P5996"/>
      <c r="Q5996"/>
      <c r="R5996"/>
      <c r="S5996"/>
    </row>
    <row r="5997" spans="1:19" x14ac:dyDescent="0.25">
      <c r="A5997" s="1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  <c r="P5997"/>
      <c r="Q5997"/>
      <c r="R5997"/>
      <c r="S5997"/>
    </row>
    <row r="5998" spans="1:19" x14ac:dyDescent="0.25">
      <c r="A5998" s="1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  <c r="P5998"/>
      <c r="Q5998"/>
      <c r="R5998"/>
      <c r="S5998"/>
    </row>
    <row r="5999" spans="1:19" x14ac:dyDescent="0.25">
      <c r="A5999" s="1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  <c r="P5999"/>
      <c r="Q5999"/>
      <c r="R5999"/>
      <c r="S5999"/>
    </row>
    <row r="6000" spans="1:19" x14ac:dyDescent="0.25">
      <c r="A6000" s="1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  <c r="P6000"/>
      <c r="Q6000"/>
      <c r="R6000"/>
      <c r="S6000"/>
    </row>
    <row r="6001" spans="1:19" x14ac:dyDescent="0.25">
      <c r="A6001" s="1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  <c r="P6001"/>
      <c r="Q6001"/>
      <c r="R6001"/>
      <c r="S6001"/>
    </row>
    <row r="6002" spans="1:19" x14ac:dyDescent="0.25">
      <c r="A6002" s="1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  <c r="P6002"/>
      <c r="Q6002"/>
      <c r="R6002"/>
      <c r="S6002"/>
    </row>
    <row r="6003" spans="1:19" x14ac:dyDescent="0.25">
      <c r="A6003" s="1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  <c r="P6003"/>
      <c r="Q6003"/>
      <c r="R6003"/>
      <c r="S6003"/>
    </row>
    <row r="6004" spans="1:19" x14ac:dyDescent="0.25">
      <c r="A6004" s="1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  <c r="P6004"/>
      <c r="Q6004"/>
      <c r="R6004"/>
      <c r="S6004"/>
    </row>
    <row r="6005" spans="1:19" x14ac:dyDescent="0.25">
      <c r="A6005" s="1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  <c r="P6005"/>
      <c r="Q6005"/>
      <c r="R6005"/>
      <c r="S6005"/>
    </row>
    <row r="6006" spans="1:19" x14ac:dyDescent="0.25">
      <c r="A6006" s="1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  <c r="P6006"/>
      <c r="Q6006"/>
      <c r="R6006"/>
      <c r="S6006"/>
    </row>
    <row r="6007" spans="1:19" x14ac:dyDescent="0.25">
      <c r="A6007" s="1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  <c r="P6007"/>
      <c r="Q6007"/>
      <c r="R6007"/>
      <c r="S6007"/>
    </row>
    <row r="6008" spans="1:19" x14ac:dyDescent="0.25">
      <c r="A6008" s="1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  <c r="P6008"/>
      <c r="Q6008"/>
      <c r="R6008"/>
      <c r="S6008"/>
    </row>
    <row r="6009" spans="1:19" x14ac:dyDescent="0.25">
      <c r="A6009" s="1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  <c r="P6009"/>
      <c r="Q6009"/>
      <c r="R6009"/>
      <c r="S6009"/>
    </row>
    <row r="6010" spans="1:19" x14ac:dyDescent="0.25">
      <c r="A6010" s="1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  <c r="P6010"/>
      <c r="Q6010"/>
      <c r="R6010"/>
      <c r="S6010"/>
    </row>
    <row r="6011" spans="1:19" x14ac:dyDescent="0.25">
      <c r="A6011" s="1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  <c r="P6011"/>
      <c r="Q6011"/>
      <c r="R6011"/>
      <c r="S6011"/>
    </row>
    <row r="6012" spans="1:19" x14ac:dyDescent="0.25">
      <c r="A6012" s="1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  <c r="P6012"/>
      <c r="Q6012"/>
      <c r="R6012"/>
      <c r="S6012"/>
    </row>
    <row r="6013" spans="1:19" x14ac:dyDescent="0.25">
      <c r="A6013" s="1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  <c r="P6013"/>
      <c r="Q6013"/>
      <c r="R6013"/>
      <c r="S6013"/>
    </row>
    <row r="6014" spans="1:19" x14ac:dyDescent="0.25">
      <c r="A6014" s="1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  <c r="P6014"/>
      <c r="Q6014"/>
      <c r="R6014"/>
      <c r="S6014"/>
    </row>
    <row r="6015" spans="1:19" x14ac:dyDescent="0.25">
      <c r="A6015" s="1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  <c r="P6015"/>
      <c r="Q6015"/>
      <c r="R6015"/>
      <c r="S6015"/>
    </row>
    <row r="6016" spans="1:19" x14ac:dyDescent="0.25">
      <c r="A6016" s="1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  <c r="P6016"/>
      <c r="Q6016"/>
      <c r="R6016"/>
      <c r="S6016"/>
    </row>
    <row r="6017" spans="1:19" x14ac:dyDescent="0.25">
      <c r="A6017" s="1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  <c r="P6017"/>
      <c r="Q6017"/>
      <c r="R6017"/>
      <c r="S6017"/>
    </row>
    <row r="6018" spans="1:19" x14ac:dyDescent="0.25">
      <c r="A6018" s="1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  <c r="P6018"/>
      <c r="Q6018"/>
      <c r="R6018"/>
      <c r="S6018"/>
    </row>
    <row r="6019" spans="1:19" x14ac:dyDescent="0.25">
      <c r="A6019" s="1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  <c r="P6019"/>
      <c r="Q6019"/>
      <c r="R6019"/>
      <c r="S6019"/>
    </row>
    <row r="6020" spans="1:19" x14ac:dyDescent="0.25">
      <c r="A6020" s="1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  <c r="P6020"/>
      <c r="Q6020"/>
      <c r="R6020"/>
      <c r="S6020"/>
    </row>
    <row r="6021" spans="1:19" x14ac:dyDescent="0.25">
      <c r="A6021" s="1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  <c r="P6021"/>
      <c r="Q6021"/>
      <c r="R6021"/>
      <c r="S6021"/>
    </row>
    <row r="6022" spans="1:19" x14ac:dyDescent="0.25">
      <c r="A6022" s="1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  <c r="P6022"/>
      <c r="Q6022"/>
      <c r="R6022"/>
      <c r="S6022"/>
    </row>
    <row r="6023" spans="1:19" x14ac:dyDescent="0.25">
      <c r="A6023" s="1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  <c r="P6023"/>
      <c r="Q6023"/>
      <c r="R6023"/>
      <c r="S6023"/>
    </row>
    <row r="6024" spans="1:19" x14ac:dyDescent="0.25">
      <c r="A6024" s="1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  <c r="P6024"/>
      <c r="Q6024"/>
      <c r="R6024"/>
      <c r="S6024"/>
    </row>
    <row r="6025" spans="1:19" x14ac:dyDescent="0.25">
      <c r="A6025" s="1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  <c r="P6025"/>
      <c r="Q6025"/>
      <c r="R6025"/>
      <c r="S6025"/>
    </row>
    <row r="6026" spans="1:19" x14ac:dyDescent="0.25">
      <c r="A6026" s="1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  <c r="P6026"/>
      <c r="Q6026"/>
      <c r="R6026"/>
      <c r="S6026"/>
    </row>
    <row r="6027" spans="1:19" x14ac:dyDescent="0.25">
      <c r="A6027" s="1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  <c r="P6027"/>
      <c r="Q6027"/>
      <c r="R6027"/>
      <c r="S6027"/>
    </row>
    <row r="6028" spans="1:19" x14ac:dyDescent="0.25">
      <c r="A6028" s="1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  <c r="P6028"/>
      <c r="Q6028"/>
      <c r="R6028"/>
      <c r="S6028"/>
    </row>
    <row r="6029" spans="1:19" x14ac:dyDescent="0.25">
      <c r="A6029" s="1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  <c r="P6029"/>
      <c r="Q6029"/>
      <c r="R6029"/>
      <c r="S6029"/>
    </row>
    <row r="6030" spans="1:19" x14ac:dyDescent="0.25">
      <c r="A6030" s="1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  <c r="P6030"/>
      <c r="Q6030"/>
      <c r="R6030"/>
      <c r="S6030"/>
    </row>
    <row r="6031" spans="1:19" x14ac:dyDescent="0.25">
      <c r="A6031" s="1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  <c r="P6031"/>
      <c r="Q6031"/>
      <c r="R6031"/>
      <c r="S6031"/>
    </row>
    <row r="6032" spans="1:19" x14ac:dyDescent="0.25">
      <c r="A6032" s="1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  <c r="P6032"/>
      <c r="Q6032"/>
      <c r="R6032"/>
      <c r="S6032"/>
    </row>
    <row r="6033" spans="1:19" x14ac:dyDescent="0.25">
      <c r="A6033" s="1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  <c r="P6033"/>
      <c r="Q6033"/>
      <c r="R6033"/>
      <c r="S6033"/>
    </row>
    <row r="6034" spans="1:19" x14ac:dyDescent="0.25">
      <c r="A6034" s="1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  <c r="P6034"/>
      <c r="Q6034"/>
      <c r="R6034"/>
      <c r="S6034"/>
    </row>
    <row r="6035" spans="1:19" x14ac:dyDescent="0.25">
      <c r="A6035" s="1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  <c r="P6035"/>
      <c r="Q6035"/>
      <c r="R6035"/>
      <c r="S6035"/>
    </row>
    <row r="6036" spans="1:19" x14ac:dyDescent="0.25">
      <c r="A6036" s="1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  <c r="P6036"/>
      <c r="Q6036"/>
      <c r="R6036"/>
      <c r="S6036"/>
    </row>
    <row r="6037" spans="1:19" x14ac:dyDescent="0.25">
      <c r="A6037" s="1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  <c r="P6037"/>
      <c r="Q6037"/>
      <c r="R6037"/>
      <c r="S6037"/>
    </row>
    <row r="6038" spans="1:19" x14ac:dyDescent="0.25">
      <c r="A6038" s="1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  <c r="P6038"/>
      <c r="Q6038"/>
      <c r="R6038"/>
      <c r="S6038"/>
    </row>
    <row r="6039" spans="1:19" x14ac:dyDescent="0.25">
      <c r="A6039" s="1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  <c r="P6039"/>
      <c r="Q6039"/>
      <c r="R6039"/>
      <c r="S6039"/>
    </row>
    <row r="6040" spans="1:19" x14ac:dyDescent="0.25">
      <c r="A6040" s="1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  <c r="P6040"/>
      <c r="Q6040"/>
      <c r="R6040"/>
      <c r="S6040"/>
    </row>
    <row r="6041" spans="1:19" x14ac:dyDescent="0.25">
      <c r="A6041" s="1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  <c r="P6041"/>
      <c r="Q6041"/>
      <c r="R6041"/>
      <c r="S6041"/>
    </row>
    <row r="6042" spans="1:19" x14ac:dyDescent="0.25">
      <c r="A6042" s="1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  <c r="P6042"/>
      <c r="Q6042"/>
      <c r="R6042"/>
      <c r="S6042"/>
    </row>
    <row r="6043" spans="1:19" x14ac:dyDescent="0.25">
      <c r="A6043" s="1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  <c r="P6043"/>
      <c r="Q6043"/>
      <c r="R6043"/>
      <c r="S6043"/>
    </row>
    <row r="6044" spans="1:19" x14ac:dyDescent="0.25">
      <c r="A6044" s="1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  <c r="P6044"/>
      <c r="Q6044"/>
      <c r="R6044"/>
      <c r="S6044"/>
    </row>
    <row r="6045" spans="1:19" x14ac:dyDescent="0.25">
      <c r="A6045" s="1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  <c r="P6045"/>
      <c r="Q6045"/>
      <c r="R6045"/>
      <c r="S6045"/>
    </row>
    <row r="6046" spans="1:19" x14ac:dyDescent="0.25">
      <c r="A6046" s="1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  <c r="P6046"/>
      <c r="Q6046"/>
      <c r="R6046"/>
      <c r="S6046"/>
    </row>
    <row r="6047" spans="1:19" x14ac:dyDescent="0.25">
      <c r="A6047" s="1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  <c r="P6047"/>
      <c r="Q6047"/>
      <c r="R6047"/>
      <c r="S6047"/>
    </row>
    <row r="6048" spans="1:19" x14ac:dyDescent="0.25">
      <c r="A6048" s="1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  <c r="P6048"/>
      <c r="Q6048"/>
      <c r="R6048"/>
      <c r="S6048"/>
    </row>
    <row r="6049" spans="1:19" x14ac:dyDescent="0.25">
      <c r="A6049" s="1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  <c r="P6049"/>
      <c r="Q6049"/>
      <c r="R6049"/>
      <c r="S6049"/>
    </row>
    <row r="6050" spans="1:19" x14ac:dyDescent="0.25">
      <c r="A6050" s="1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  <c r="P6050"/>
      <c r="Q6050"/>
      <c r="R6050"/>
      <c r="S6050"/>
    </row>
    <row r="6051" spans="1:19" x14ac:dyDescent="0.25">
      <c r="A6051" s="1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  <c r="P6051"/>
      <c r="Q6051"/>
      <c r="R6051"/>
      <c r="S6051"/>
    </row>
    <row r="6052" spans="1:19" x14ac:dyDescent="0.25">
      <c r="A6052" s="1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  <c r="P6052"/>
      <c r="Q6052"/>
      <c r="R6052"/>
      <c r="S6052"/>
    </row>
    <row r="6053" spans="1:19" x14ac:dyDescent="0.25">
      <c r="A6053" s="1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  <c r="P6053"/>
      <c r="Q6053"/>
      <c r="R6053"/>
      <c r="S6053"/>
    </row>
    <row r="6054" spans="1:19" x14ac:dyDescent="0.25">
      <c r="A6054" s="1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  <c r="P6054"/>
      <c r="Q6054"/>
      <c r="R6054"/>
      <c r="S6054"/>
    </row>
    <row r="6055" spans="1:19" x14ac:dyDescent="0.25">
      <c r="A6055" s="1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  <c r="P6055"/>
      <c r="Q6055"/>
      <c r="R6055"/>
      <c r="S6055"/>
    </row>
    <row r="6056" spans="1:19" x14ac:dyDescent="0.25">
      <c r="A6056" s="1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  <c r="P6056"/>
      <c r="Q6056"/>
      <c r="R6056"/>
      <c r="S6056"/>
    </row>
    <row r="6057" spans="1:19" x14ac:dyDescent="0.25">
      <c r="A6057" s="1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  <c r="P6057"/>
      <c r="Q6057"/>
      <c r="R6057"/>
      <c r="S6057"/>
    </row>
    <row r="6058" spans="1:19" x14ac:dyDescent="0.25">
      <c r="A6058" s="1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  <c r="P6058"/>
      <c r="Q6058"/>
      <c r="R6058"/>
      <c r="S6058"/>
    </row>
    <row r="6059" spans="1:19" x14ac:dyDescent="0.25">
      <c r="A6059" s="1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  <c r="P6059"/>
      <c r="Q6059"/>
      <c r="R6059"/>
      <c r="S6059"/>
    </row>
    <row r="6060" spans="1:19" x14ac:dyDescent="0.25">
      <c r="A6060" s="1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  <c r="P6060"/>
      <c r="Q6060"/>
      <c r="R6060"/>
      <c r="S6060"/>
    </row>
    <row r="6061" spans="1:19" x14ac:dyDescent="0.25">
      <c r="A6061" s="1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  <c r="P6061"/>
      <c r="Q6061"/>
      <c r="R6061"/>
      <c r="S6061"/>
    </row>
    <row r="6062" spans="1:19" x14ac:dyDescent="0.25">
      <c r="A6062" s="1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  <c r="P6062"/>
      <c r="Q6062"/>
      <c r="R6062"/>
      <c r="S6062"/>
    </row>
    <row r="6063" spans="1:19" x14ac:dyDescent="0.25">
      <c r="A6063" s="1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  <c r="P6063"/>
      <c r="Q6063"/>
      <c r="R6063"/>
      <c r="S6063"/>
    </row>
    <row r="6064" spans="1:19" x14ac:dyDescent="0.25">
      <c r="A6064" s="1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  <c r="P6064"/>
      <c r="Q6064"/>
      <c r="R6064"/>
      <c r="S6064"/>
    </row>
    <row r="6065" spans="1:19" x14ac:dyDescent="0.25">
      <c r="A6065" s="1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  <c r="P6065"/>
      <c r="Q6065"/>
      <c r="R6065"/>
      <c r="S6065"/>
    </row>
    <row r="6066" spans="1:19" x14ac:dyDescent="0.25">
      <c r="A6066" s="1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  <c r="P6066"/>
      <c r="Q6066"/>
      <c r="R6066"/>
      <c r="S6066"/>
    </row>
    <row r="6067" spans="1:19" x14ac:dyDescent="0.25">
      <c r="A6067" s="1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  <c r="P6067"/>
      <c r="Q6067"/>
      <c r="R6067"/>
      <c r="S6067"/>
    </row>
    <row r="6068" spans="1:19" x14ac:dyDescent="0.25">
      <c r="A6068" s="1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  <c r="P6068"/>
      <c r="Q6068"/>
      <c r="R6068"/>
      <c r="S6068"/>
    </row>
    <row r="6069" spans="1:19" x14ac:dyDescent="0.25">
      <c r="A6069" s="1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  <c r="P6069"/>
      <c r="Q6069"/>
      <c r="R6069"/>
      <c r="S6069"/>
    </row>
    <row r="6070" spans="1:19" x14ac:dyDescent="0.25">
      <c r="A6070" s="1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  <c r="P6070"/>
      <c r="Q6070"/>
      <c r="R6070"/>
      <c r="S6070"/>
    </row>
    <row r="6071" spans="1:19" x14ac:dyDescent="0.25">
      <c r="A6071" s="1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  <c r="P6071"/>
      <c r="Q6071"/>
      <c r="R6071"/>
      <c r="S6071"/>
    </row>
    <row r="6072" spans="1:19" x14ac:dyDescent="0.25">
      <c r="A6072" s="1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  <c r="P6072"/>
      <c r="Q6072"/>
      <c r="R6072"/>
      <c r="S6072"/>
    </row>
    <row r="6073" spans="1:19" x14ac:dyDescent="0.25">
      <c r="A6073" s="1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  <c r="P6073"/>
      <c r="Q6073"/>
      <c r="R6073"/>
      <c r="S6073"/>
    </row>
    <row r="6074" spans="1:19" x14ac:dyDescent="0.25">
      <c r="A6074" s="1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  <c r="P6074"/>
      <c r="Q6074"/>
      <c r="R6074"/>
      <c r="S6074"/>
    </row>
    <row r="6075" spans="1:19" x14ac:dyDescent="0.25">
      <c r="A6075" s="1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  <c r="P6075"/>
      <c r="Q6075"/>
      <c r="R6075"/>
      <c r="S6075"/>
    </row>
    <row r="6076" spans="1:19" x14ac:dyDescent="0.25">
      <c r="A6076" s="1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  <c r="P6076"/>
      <c r="Q6076"/>
      <c r="R6076"/>
      <c r="S6076"/>
    </row>
    <row r="6077" spans="1:19" x14ac:dyDescent="0.25">
      <c r="A6077" s="1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  <c r="P6077"/>
      <c r="Q6077"/>
      <c r="R6077"/>
      <c r="S6077"/>
    </row>
    <row r="6078" spans="1:19" x14ac:dyDescent="0.25">
      <c r="A6078" s="1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  <c r="P6078"/>
      <c r="Q6078"/>
      <c r="R6078"/>
      <c r="S6078"/>
    </row>
    <row r="6079" spans="1:19" x14ac:dyDescent="0.25">
      <c r="A6079" s="1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  <c r="P6079"/>
      <c r="Q6079"/>
      <c r="R6079"/>
      <c r="S6079"/>
    </row>
    <row r="6080" spans="1:19" x14ac:dyDescent="0.25">
      <c r="A6080" s="1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  <c r="P6080"/>
      <c r="Q6080"/>
      <c r="R6080"/>
      <c r="S6080"/>
    </row>
    <row r="6081" spans="1:19" x14ac:dyDescent="0.25">
      <c r="A6081" s="1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  <c r="P6081"/>
      <c r="Q6081"/>
      <c r="R6081"/>
      <c r="S6081"/>
    </row>
    <row r="6082" spans="1:19" x14ac:dyDescent="0.25">
      <c r="A6082" s="1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  <c r="P6082"/>
      <c r="Q6082"/>
      <c r="R6082"/>
      <c r="S6082"/>
    </row>
    <row r="6083" spans="1:19" x14ac:dyDescent="0.25">
      <c r="A6083" s="1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  <c r="P6083"/>
      <c r="Q6083"/>
      <c r="R6083"/>
      <c r="S6083"/>
    </row>
    <row r="6084" spans="1:19" x14ac:dyDescent="0.25">
      <c r="A6084" s="1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  <c r="P6084"/>
      <c r="Q6084"/>
      <c r="R6084"/>
      <c r="S6084"/>
    </row>
    <row r="6085" spans="1:19" x14ac:dyDescent="0.25">
      <c r="A6085" s="1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  <c r="P6085"/>
      <c r="Q6085"/>
      <c r="R6085"/>
      <c r="S6085"/>
    </row>
    <row r="6086" spans="1:19" x14ac:dyDescent="0.25">
      <c r="A6086" s="1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  <c r="P6086"/>
      <c r="Q6086"/>
      <c r="R6086"/>
      <c r="S6086"/>
    </row>
    <row r="6087" spans="1:19" x14ac:dyDescent="0.25">
      <c r="A6087" s="1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  <c r="P6087"/>
      <c r="Q6087"/>
      <c r="R6087"/>
      <c r="S6087"/>
    </row>
    <row r="6088" spans="1:19" x14ac:dyDescent="0.25">
      <c r="A6088" s="1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  <c r="P6088"/>
      <c r="Q6088"/>
      <c r="R6088"/>
      <c r="S6088"/>
    </row>
    <row r="6089" spans="1:19" x14ac:dyDescent="0.25">
      <c r="A6089" s="1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  <c r="P6089"/>
      <c r="Q6089"/>
      <c r="R6089"/>
      <c r="S6089"/>
    </row>
    <row r="6090" spans="1:19" x14ac:dyDescent="0.25">
      <c r="A6090" s="1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  <c r="P6090"/>
      <c r="Q6090"/>
      <c r="R6090"/>
      <c r="S6090"/>
    </row>
    <row r="6091" spans="1:19" x14ac:dyDescent="0.25">
      <c r="A6091" s="1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  <c r="P6091"/>
      <c r="Q6091"/>
      <c r="R6091"/>
      <c r="S6091"/>
    </row>
    <row r="6092" spans="1:19" x14ac:dyDescent="0.25">
      <c r="A6092" s="1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  <c r="P6092"/>
      <c r="Q6092"/>
      <c r="R6092"/>
      <c r="S6092"/>
    </row>
    <row r="6093" spans="1:19" x14ac:dyDescent="0.25">
      <c r="A6093" s="1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  <c r="P6093"/>
      <c r="Q6093"/>
      <c r="R6093"/>
      <c r="S6093"/>
    </row>
    <row r="6094" spans="1:19" x14ac:dyDescent="0.25">
      <c r="A6094" s="1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  <c r="P6094"/>
      <c r="Q6094"/>
      <c r="R6094"/>
      <c r="S6094"/>
    </row>
    <row r="6095" spans="1:19" x14ac:dyDescent="0.25">
      <c r="A6095" s="1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  <c r="P6095"/>
      <c r="Q6095"/>
      <c r="R6095"/>
      <c r="S6095"/>
    </row>
    <row r="6096" spans="1:19" x14ac:dyDescent="0.25">
      <c r="A6096" s="1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  <c r="P6096"/>
      <c r="Q6096"/>
      <c r="R6096"/>
      <c r="S6096"/>
    </row>
    <row r="6097" spans="1:19" x14ac:dyDescent="0.25">
      <c r="A6097" s="1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  <c r="P6097"/>
      <c r="Q6097"/>
      <c r="R6097"/>
      <c r="S6097"/>
    </row>
    <row r="6098" spans="1:19" x14ac:dyDescent="0.25">
      <c r="A6098" s="1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  <c r="P6098"/>
      <c r="Q6098"/>
      <c r="R6098"/>
      <c r="S6098"/>
    </row>
    <row r="6099" spans="1:19" x14ac:dyDescent="0.25">
      <c r="A6099" s="1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  <c r="P6099"/>
      <c r="Q6099"/>
      <c r="R6099"/>
      <c r="S6099"/>
    </row>
    <row r="6100" spans="1:19" x14ac:dyDescent="0.25">
      <c r="A6100" s="1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  <c r="P6100"/>
      <c r="Q6100"/>
      <c r="R6100"/>
      <c r="S6100"/>
    </row>
    <row r="6101" spans="1:19" x14ac:dyDescent="0.25">
      <c r="A6101" s="1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  <c r="P6101"/>
      <c r="Q6101"/>
      <c r="R6101"/>
      <c r="S6101"/>
    </row>
    <row r="6102" spans="1:19" x14ac:dyDescent="0.25">
      <c r="A6102" s="1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  <c r="P6102"/>
      <c r="Q6102"/>
      <c r="R6102"/>
      <c r="S6102"/>
    </row>
    <row r="6103" spans="1:19" x14ac:dyDescent="0.25">
      <c r="A6103" s="1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  <c r="P6103"/>
      <c r="Q6103"/>
      <c r="R6103"/>
      <c r="S6103"/>
    </row>
    <row r="6104" spans="1:19" x14ac:dyDescent="0.25">
      <c r="A6104" s="1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  <c r="P6104"/>
      <c r="Q6104"/>
      <c r="R6104"/>
      <c r="S6104"/>
    </row>
    <row r="6105" spans="1:19" x14ac:dyDescent="0.25">
      <c r="A6105" s="1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  <c r="P6105"/>
      <c r="Q6105"/>
      <c r="R6105"/>
      <c r="S6105"/>
    </row>
    <row r="6106" spans="1:19" x14ac:dyDescent="0.25">
      <c r="A6106" s="1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  <c r="P6106"/>
      <c r="Q6106"/>
      <c r="R6106"/>
      <c r="S6106"/>
    </row>
    <row r="6107" spans="1:19" x14ac:dyDescent="0.25">
      <c r="A6107" s="1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  <c r="P6107"/>
      <c r="Q6107"/>
      <c r="R6107"/>
      <c r="S6107"/>
    </row>
    <row r="6108" spans="1:19" x14ac:dyDescent="0.25">
      <c r="A6108" s="1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  <c r="P6108"/>
      <c r="Q6108"/>
      <c r="R6108"/>
      <c r="S6108"/>
    </row>
    <row r="6109" spans="1:19" x14ac:dyDescent="0.25">
      <c r="A6109" s="1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  <c r="P6109"/>
      <c r="Q6109"/>
      <c r="R6109"/>
      <c r="S6109"/>
    </row>
    <row r="6110" spans="1:19" x14ac:dyDescent="0.25">
      <c r="A6110" s="1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  <c r="P6110"/>
      <c r="Q6110"/>
      <c r="R6110"/>
      <c r="S6110"/>
    </row>
    <row r="6111" spans="1:19" x14ac:dyDescent="0.25">
      <c r="A6111" s="1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  <c r="P6111"/>
      <c r="Q6111"/>
      <c r="R6111"/>
      <c r="S6111"/>
    </row>
    <row r="6112" spans="1:19" x14ac:dyDescent="0.25">
      <c r="A6112" s="1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  <c r="P6112"/>
      <c r="Q6112"/>
      <c r="R6112"/>
      <c r="S6112"/>
    </row>
    <row r="6113" spans="1:19" x14ac:dyDescent="0.25">
      <c r="A6113" s="1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  <c r="P6113"/>
      <c r="Q6113"/>
      <c r="R6113"/>
      <c r="S6113"/>
    </row>
    <row r="6114" spans="1:19" x14ac:dyDescent="0.25">
      <c r="A6114" s="1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  <c r="P6114"/>
      <c r="Q6114"/>
      <c r="R6114"/>
      <c r="S6114"/>
    </row>
    <row r="6115" spans="1:19" x14ac:dyDescent="0.25">
      <c r="A6115" s="1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  <c r="P6115"/>
      <c r="Q6115"/>
      <c r="R6115"/>
      <c r="S6115"/>
    </row>
    <row r="6116" spans="1:19" x14ac:dyDescent="0.25">
      <c r="A6116" s="1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  <c r="P6116"/>
      <c r="Q6116"/>
      <c r="R6116"/>
      <c r="S6116"/>
    </row>
    <row r="6117" spans="1:19" x14ac:dyDescent="0.25">
      <c r="A6117" s="1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  <c r="P6117"/>
      <c r="Q6117"/>
      <c r="R6117"/>
      <c r="S6117"/>
    </row>
    <row r="6118" spans="1:19" x14ac:dyDescent="0.25">
      <c r="A6118" s="1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  <c r="P6118"/>
      <c r="Q6118"/>
      <c r="R6118"/>
      <c r="S6118"/>
    </row>
    <row r="6119" spans="1:19" x14ac:dyDescent="0.25">
      <c r="A6119" s="1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  <c r="P6119"/>
      <c r="Q6119"/>
      <c r="R6119"/>
      <c r="S6119"/>
    </row>
    <row r="6120" spans="1:19" x14ac:dyDescent="0.25">
      <c r="A6120" s="1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  <c r="P6120"/>
      <c r="Q6120"/>
      <c r="R6120"/>
      <c r="S6120"/>
    </row>
    <row r="6121" spans="1:19" x14ac:dyDescent="0.25">
      <c r="A6121" s="1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  <c r="P6121"/>
      <c r="Q6121"/>
      <c r="R6121"/>
      <c r="S6121"/>
    </row>
    <row r="6122" spans="1:19" x14ac:dyDescent="0.25">
      <c r="A6122" s="1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  <c r="P6122"/>
      <c r="Q6122"/>
      <c r="R6122"/>
      <c r="S6122"/>
    </row>
    <row r="6123" spans="1:19" x14ac:dyDescent="0.25">
      <c r="A6123" s="1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  <c r="P6123"/>
      <c r="Q6123"/>
      <c r="R6123"/>
      <c r="S6123"/>
    </row>
    <row r="6124" spans="1:19" x14ac:dyDescent="0.25">
      <c r="A6124" s="1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  <c r="P6124"/>
      <c r="Q6124"/>
      <c r="R6124"/>
      <c r="S6124"/>
    </row>
    <row r="6125" spans="1:19" x14ac:dyDescent="0.25">
      <c r="A6125" s="1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  <c r="P6125"/>
      <c r="Q6125"/>
      <c r="R6125"/>
      <c r="S6125"/>
    </row>
    <row r="6126" spans="1:19" x14ac:dyDescent="0.25">
      <c r="A6126" s="1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  <c r="P6126"/>
      <c r="Q6126"/>
      <c r="R6126"/>
      <c r="S6126"/>
    </row>
    <row r="6127" spans="1:19" x14ac:dyDescent="0.25">
      <c r="A6127" s="1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  <c r="P6127"/>
      <c r="Q6127"/>
      <c r="R6127"/>
      <c r="S6127"/>
    </row>
    <row r="6128" spans="1:19" x14ac:dyDescent="0.25">
      <c r="A6128" s="1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  <c r="P6128"/>
      <c r="Q6128"/>
      <c r="R6128"/>
      <c r="S6128"/>
    </row>
    <row r="6129" spans="1:19" x14ac:dyDescent="0.25">
      <c r="A6129" s="1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  <c r="P6129"/>
      <c r="Q6129"/>
      <c r="R6129"/>
      <c r="S6129"/>
    </row>
    <row r="6130" spans="1:19" x14ac:dyDescent="0.25">
      <c r="A6130" s="1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  <c r="P6130"/>
      <c r="Q6130"/>
      <c r="R6130"/>
      <c r="S6130"/>
    </row>
    <row r="6131" spans="1:19" x14ac:dyDescent="0.25">
      <c r="A6131" s="1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  <c r="P6131"/>
      <c r="Q6131"/>
      <c r="R6131"/>
      <c r="S6131"/>
    </row>
    <row r="6132" spans="1:19" x14ac:dyDescent="0.25">
      <c r="A6132" s="1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  <c r="P6132"/>
      <c r="Q6132"/>
      <c r="R6132"/>
      <c r="S6132"/>
    </row>
    <row r="6133" spans="1:19" x14ac:dyDescent="0.25">
      <c r="A6133" s="1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  <c r="P6133"/>
      <c r="Q6133"/>
      <c r="R6133"/>
      <c r="S6133"/>
    </row>
    <row r="6134" spans="1:19" x14ac:dyDescent="0.25">
      <c r="A6134" s="1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  <c r="P6134"/>
      <c r="Q6134"/>
      <c r="R6134"/>
      <c r="S6134"/>
    </row>
    <row r="6135" spans="1:19" x14ac:dyDescent="0.25">
      <c r="A6135" s="1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  <c r="P6135"/>
      <c r="Q6135"/>
      <c r="R6135"/>
      <c r="S6135"/>
    </row>
    <row r="6136" spans="1:19" x14ac:dyDescent="0.25">
      <c r="A6136" s="1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  <c r="P6136"/>
      <c r="Q6136"/>
      <c r="R6136"/>
      <c r="S6136"/>
    </row>
    <row r="6137" spans="1:19" x14ac:dyDescent="0.25">
      <c r="A6137" s="1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  <c r="P6137"/>
      <c r="Q6137"/>
      <c r="R6137"/>
      <c r="S6137"/>
    </row>
    <row r="6138" spans="1:19" x14ac:dyDescent="0.25">
      <c r="A6138" s="1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  <c r="P6138"/>
      <c r="Q6138"/>
      <c r="R6138"/>
      <c r="S6138"/>
    </row>
    <row r="6139" spans="1:19" x14ac:dyDescent="0.25">
      <c r="A6139" s="1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  <c r="P6139"/>
      <c r="Q6139"/>
      <c r="R6139"/>
      <c r="S6139"/>
    </row>
    <row r="6140" spans="1:19" x14ac:dyDescent="0.25">
      <c r="A6140" s="1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  <c r="P6140"/>
      <c r="Q6140"/>
      <c r="R6140"/>
      <c r="S6140"/>
    </row>
    <row r="6141" spans="1:19" x14ac:dyDescent="0.25">
      <c r="A6141" s="1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  <c r="P6141"/>
      <c r="Q6141"/>
      <c r="R6141"/>
      <c r="S6141"/>
    </row>
    <row r="6142" spans="1:19" x14ac:dyDescent="0.25">
      <c r="A6142" s="1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  <c r="P6142"/>
      <c r="Q6142"/>
      <c r="R6142"/>
      <c r="S6142"/>
    </row>
    <row r="6143" spans="1:19" x14ac:dyDescent="0.25">
      <c r="A6143" s="1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  <c r="P6143"/>
      <c r="Q6143"/>
      <c r="R6143"/>
      <c r="S6143"/>
    </row>
    <row r="6144" spans="1:19" x14ac:dyDescent="0.25">
      <c r="A6144" s="1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  <c r="P6144"/>
      <c r="Q6144"/>
      <c r="R6144"/>
      <c r="S6144"/>
    </row>
    <row r="6145" spans="1:19" x14ac:dyDescent="0.25">
      <c r="A6145" s="1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  <c r="P6145"/>
      <c r="Q6145"/>
      <c r="R6145"/>
      <c r="S6145"/>
    </row>
    <row r="6146" spans="1:19" x14ac:dyDescent="0.25">
      <c r="A6146" s="1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  <c r="P6146"/>
      <c r="Q6146"/>
      <c r="R6146"/>
      <c r="S6146"/>
    </row>
    <row r="6147" spans="1:19" x14ac:dyDescent="0.25">
      <c r="A6147" s="1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  <c r="P6147"/>
      <c r="Q6147"/>
      <c r="R6147"/>
      <c r="S6147"/>
    </row>
    <row r="6148" spans="1:19" x14ac:dyDescent="0.25">
      <c r="A6148" s="1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  <c r="P6148"/>
      <c r="Q6148"/>
      <c r="R6148"/>
      <c r="S6148"/>
    </row>
    <row r="6149" spans="1:19" x14ac:dyDescent="0.25">
      <c r="A6149" s="1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  <c r="P6149"/>
      <c r="Q6149"/>
      <c r="R6149"/>
      <c r="S6149"/>
    </row>
    <row r="6150" spans="1:19" x14ac:dyDescent="0.25">
      <c r="A6150" s="1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  <c r="P6150"/>
      <c r="Q6150"/>
      <c r="R6150"/>
      <c r="S6150"/>
    </row>
    <row r="6151" spans="1:19" x14ac:dyDescent="0.25">
      <c r="A6151" s="1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  <c r="P6151"/>
      <c r="Q6151"/>
      <c r="R6151"/>
      <c r="S6151"/>
    </row>
    <row r="6152" spans="1:19" x14ac:dyDescent="0.25">
      <c r="A6152" s="1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  <c r="P6152"/>
      <c r="Q6152"/>
      <c r="R6152"/>
      <c r="S6152"/>
    </row>
    <row r="6153" spans="1:19" x14ac:dyDescent="0.25">
      <c r="A6153" s="1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  <c r="P6153"/>
      <c r="Q6153"/>
      <c r="R6153"/>
      <c r="S6153"/>
    </row>
    <row r="6154" spans="1:19" x14ac:dyDescent="0.25">
      <c r="A6154" s="1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  <c r="P6154"/>
      <c r="Q6154"/>
      <c r="R6154"/>
      <c r="S6154"/>
    </row>
    <row r="6155" spans="1:19" x14ac:dyDescent="0.25">
      <c r="A6155" s="1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  <c r="P6155"/>
      <c r="Q6155"/>
      <c r="R6155"/>
      <c r="S6155"/>
    </row>
    <row r="6156" spans="1:19" x14ac:dyDescent="0.25">
      <c r="A6156" s="1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  <c r="P6156"/>
      <c r="Q6156"/>
      <c r="R6156"/>
      <c r="S6156"/>
    </row>
    <row r="6157" spans="1:19" x14ac:dyDescent="0.25">
      <c r="A6157" s="1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  <c r="P6157"/>
      <c r="Q6157"/>
      <c r="R6157"/>
      <c r="S6157"/>
    </row>
    <row r="6158" spans="1:19" x14ac:dyDescent="0.25">
      <c r="A6158" s="1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  <c r="P6158"/>
      <c r="Q6158"/>
      <c r="R6158"/>
      <c r="S6158"/>
    </row>
    <row r="6159" spans="1:19" x14ac:dyDescent="0.25">
      <c r="A6159" s="1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  <c r="P6159"/>
      <c r="Q6159"/>
      <c r="R6159"/>
      <c r="S6159"/>
    </row>
    <row r="6160" spans="1:19" x14ac:dyDescent="0.25">
      <c r="A6160" s="1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  <c r="P6160"/>
      <c r="Q6160"/>
      <c r="R6160"/>
      <c r="S6160"/>
    </row>
    <row r="6161" spans="1:19" x14ac:dyDescent="0.25">
      <c r="A6161" s="1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  <c r="P6161"/>
      <c r="Q6161"/>
      <c r="R6161"/>
      <c r="S6161"/>
    </row>
    <row r="6162" spans="1:19" x14ac:dyDescent="0.25">
      <c r="A6162" s="1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  <c r="P6162"/>
      <c r="Q6162"/>
      <c r="R6162"/>
      <c r="S6162"/>
    </row>
    <row r="6163" spans="1:19" x14ac:dyDescent="0.25">
      <c r="A6163" s="1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  <c r="P6163"/>
      <c r="Q6163"/>
      <c r="R6163"/>
      <c r="S6163"/>
    </row>
    <row r="6164" spans="1:19" x14ac:dyDescent="0.25">
      <c r="A6164" s="1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  <c r="P6164"/>
      <c r="Q6164"/>
      <c r="R6164"/>
      <c r="S6164"/>
    </row>
    <row r="6165" spans="1:19" x14ac:dyDescent="0.25">
      <c r="A6165" s="1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  <c r="P6165"/>
      <c r="Q6165"/>
      <c r="R6165"/>
      <c r="S6165"/>
    </row>
    <row r="6166" spans="1:19" x14ac:dyDescent="0.25">
      <c r="A6166" s="1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  <c r="P6166"/>
      <c r="Q6166"/>
      <c r="R6166"/>
      <c r="S6166"/>
    </row>
    <row r="6167" spans="1:19" x14ac:dyDescent="0.25">
      <c r="A6167" s="1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  <c r="P6167"/>
      <c r="Q6167"/>
      <c r="R6167"/>
      <c r="S6167"/>
    </row>
    <row r="6168" spans="1:19" x14ac:dyDescent="0.25">
      <c r="A6168" s="1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  <c r="P6168"/>
      <c r="Q6168"/>
      <c r="R6168"/>
      <c r="S6168"/>
    </row>
    <row r="6169" spans="1:19" x14ac:dyDescent="0.25">
      <c r="A6169" s="1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  <c r="P6169"/>
      <c r="Q6169"/>
      <c r="R6169"/>
      <c r="S6169"/>
    </row>
    <row r="6170" spans="1:19" x14ac:dyDescent="0.25">
      <c r="A6170" s="1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  <c r="P6170"/>
      <c r="Q6170"/>
      <c r="R6170"/>
      <c r="S6170"/>
    </row>
    <row r="6171" spans="1:19" x14ac:dyDescent="0.25">
      <c r="A6171" s="1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  <c r="P6171"/>
      <c r="Q6171"/>
      <c r="R6171"/>
      <c r="S6171"/>
    </row>
    <row r="6172" spans="1:19" x14ac:dyDescent="0.25">
      <c r="A6172" s="1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  <c r="P6172"/>
      <c r="Q6172"/>
      <c r="R6172"/>
      <c r="S6172"/>
    </row>
    <row r="6173" spans="1:19" x14ac:dyDescent="0.25">
      <c r="A6173" s="1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  <c r="P6173"/>
      <c r="Q6173"/>
      <c r="R6173"/>
      <c r="S6173"/>
    </row>
    <row r="6174" spans="1:19" x14ac:dyDescent="0.25">
      <c r="A6174" s="1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  <c r="P6174"/>
      <c r="Q6174"/>
      <c r="R6174"/>
      <c r="S6174"/>
    </row>
    <row r="6175" spans="1:19" x14ac:dyDescent="0.25">
      <c r="A6175" s="1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  <c r="P6175"/>
      <c r="Q6175"/>
      <c r="R6175"/>
      <c r="S6175"/>
    </row>
    <row r="6176" spans="1:19" x14ac:dyDescent="0.25">
      <c r="A6176" s="1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  <c r="P6176"/>
      <c r="Q6176"/>
      <c r="R6176"/>
      <c r="S6176"/>
    </row>
    <row r="6177" spans="1:19" x14ac:dyDescent="0.25">
      <c r="A6177" s="1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  <c r="P6177"/>
      <c r="Q6177"/>
      <c r="R6177"/>
      <c r="S6177"/>
    </row>
    <row r="6178" spans="1:19" x14ac:dyDescent="0.25">
      <c r="A6178" s="1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  <c r="P6178"/>
      <c r="Q6178"/>
      <c r="R6178"/>
      <c r="S6178"/>
    </row>
    <row r="6179" spans="1:19" x14ac:dyDescent="0.25">
      <c r="A6179" s="1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  <c r="P6179"/>
      <c r="Q6179"/>
      <c r="R6179"/>
      <c r="S6179"/>
    </row>
    <row r="6180" spans="1:19" x14ac:dyDescent="0.25">
      <c r="A6180" s="1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  <c r="P6180"/>
      <c r="Q6180"/>
      <c r="R6180"/>
      <c r="S6180"/>
    </row>
    <row r="6181" spans="1:19" x14ac:dyDescent="0.25">
      <c r="A6181" s="1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  <c r="P6181"/>
      <c r="Q6181"/>
      <c r="R6181"/>
      <c r="S6181"/>
    </row>
    <row r="6182" spans="1:19" x14ac:dyDescent="0.25">
      <c r="A6182" s="1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  <c r="P6182"/>
      <c r="Q6182"/>
      <c r="R6182"/>
      <c r="S6182"/>
    </row>
    <row r="6183" spans="1:19" x14ac:dyDescent="0.25">
      <c r="A6183" s="1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  <c r="P6183"/>
      <c r="Q6183"/>
      <c r="R6183"/>
      <c r="S6183"/>
    </row>
    <row r="6184" spans="1:19" x14ac:dyDescent="0.25">
      <c r="A6184" s="1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  <c r="P6184"/>
      <c r="Q6184"/>
      <c r="R6184"/>
      <c r="S6184"/>
    </row>
    <row r="6185" spans="1:19" x14ac:dyDescent="0.25">
      <c r="A6185" s="1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  <c r="P6185"/>
      <c r="Q6185"/>
      <c r="R6185"/>
      <c r="S6185"/>
    </row>
    <row r="6186" spans="1:19" x14ac:dyDescent="0.25">
      <c r="A6186" s="1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  <c r="P6186"/>
      <c r="Q6186"/>
      <c r="R6186"/>
      <c r="S6186"/>
    </row>
    <row r="6187" spans="1:19" x14ac:dyDescent="0.25">
      <c r="A6187" s="1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  <c r="P6187"/>
      <c r="Q6187"/>
      <c r="R6187"/>
      <c r="S6187"/>
    </row>
    <row r="6188" spans="1:19" x14ac:dyDescent="0.25">
      <c r="A6188" s="1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  <c r="P6188"/>
      <c r="Q6188"/>
      <c r="R6188"/>
      <c r="S6188"/>
    </row>
    <row r="6189" spans="1:19" x14ac:dyDescent="0.25">
      <c r="A6189" s="1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  <c r="P6189"/>
      <c r="Q6189"/>
      <c r="R6189"/>
      <c r="S6189"/>
    </row>
    <row r="6190" spans="1:19" x14ac:dyDescent="0.25">
      <c r="A6190" s="1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  <c r="P6190"/>
      <c r="Q6190"/>
      <c r="R6190"/>
      <c r="S6190"/>
    </row>
    <row r="6191" spans="1:19" x14ac:dyDescent="0.25">
      <c r="A6191" s="1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  <c r="P6191"/>
      <c r="Q6191"/>
      <c r="R6191"/>
      <c r="S6191"/>
    </row>
    <row r="6192" spans="1:19" x14ac:dyDescent="0.25">
      <c r="A6192" s="1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  <c r="P6192"/>
      <c r="Q6192"/>
      <c r="R6192"/>
      <c r="S6192"/>
    </row>
    <row r="6193" spans="1:19" x14ac:dyDescent="0.25">
      <c r="A6193" s="1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  <c r="P6193"/>
      <c r="Q6193"/>
      <c r="R6193"/>
      <c r="S6193"/>
    </row>
    <row r="6194" spans="1:19" x14ac:dyDescent="0.25">
      <c r="A6194" s="1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  <c r="P6194"/>
      <c r="Q6194"/>
      <c r="R6194"/>
      <c r="S6194"/>
    </row>
    <row r="6195" spans="1:19" x14ac:dyDescent="0.25">
      <c r="A6195" s="1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  <c r="P6195"/>
      <c r="Q6195"/>
      <c r="R6195"/>
      <c r="S6195"/>
    </row>
    <row r="6196" spans="1:19" x14ac:dyDescent="0.25">
      <c r="A6196" s="1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  <c r="P6196"/>
      <c r="Q6196"/>
      <c r="R6196"/>
      <c r="S6196"/>
    </row>
    <row r="6197" spans="1:19" x14ac:dyDescent="0.25">
      <c r="A6197" s="1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  <c r="P6197"/>
      <c r="Q6197"/>
      <c r="R6197"/>
      <c r="S6197"/>
    </row>
    <row r="6198" spans="1:19" x14ac:dyDescent="0.25">
      <c r="A6198" s="1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  <c r="P6198"/>
      <c r="Q6198"/>
      <c r="R6198"/>
      <c r="S6198"/>
    </row>
    <row r="6199" spans="1:19" x14ac:dyDescent="0.25">
      <c r="A6199" s="1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  <c r="P6199"/>
      <c r="Q6199"/>
      <c r="R6199"/>
      <c r="S6199"/>
    </row>
    <row r="6200" spans="1:19" x14ac:dyDescent="0.25">
      <c r="A6200" s="1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  <c r="P6200"/>
      <c r="Q6200"/>
      <c r="R6200"/>
      <c r="S6200"/>
    </row>
    <row r="6201" spans="1:19" x14ac:dyDescent="0.25">
      <c r="A6201" s="1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  <c r="P6201"/>
      <c r="Q6201"/>
      <c r="R6201"/>
      <c r="S6201"/>
    </row>
    <row r="6202" spans="1:19" x14ac:dyDescent="0.25">
      <c r="A6202" s="1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  <c r="P6202"/>
      <c r="Q6202"/>
      <c r="R6202"/>
      <c r="S6202"/>
    </row>
    <row r="6203" spans="1:19" x14ac:dyDescent="0.25">
      <c r="A6203" s="1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  <c r="P6203"/>
      <c r="Q6203"/>
      <c r="R6203"/>
      <c r="S6203"/>
    </row>
    <row r="6204" spans="1:19" x14ac:dyDescent="0.25">
      <c r="A6204" s="1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  <c r="P6204"/>
      <c r="Q6204"/>
      <c r="R6204"/>
      <c r="S6204"/>
    </row>
    <row r="6205" spans="1:19" x14ac:dyDescent="0.25">
      <c r="A6205" s="1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  <c r="P6205"/>
      <c r="Q6205"/>
      <c r="R6205"/>
      <c r="S6205"/>
    </row>
    <row r="6206" spans="1:19" x14ac:dyDescent="0.25">
      <c r="A6206" s="1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  <c r="P6206"/>
      <c r="Q6206"/>
      <c r="R6206"/>
      <c r="S6206"/>
    </row>
    <row r="6207" spans="1:19" x14ac:dyDescent="0.25">
      <c r="A6207" s="1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  <c r="P6207"/>
      <c r="Q6207"/>
      <c r="R6207"/>
      <c r="S6207"/>
    </row>
    <row r="6208" spans="1:19" x14ac:dyDescent="0.25">
      <c r="A6208" s="1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  <c r="P6208"/>
      <c r="Q6208"/>
      <c r="R6208"/>
      <c r="S6208"/>
    </row>
    <row r="6209" spans="1:19" x14ac:dyDescent="0.25">
      <c r="A6209" s="1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  <c r="P6209"/>
      <c r="Q6209"/>
      <c r="R6209"/>
      <c r="S6209"/>
    </row>
    <row r="6210" spans="1:19" x14ac:dyDescent="0.25">
      <c r="A6210" s="1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  <c r="P6210"/>
      <c r="Q6210"/>
      <c r="R6210"/>
      <c r="S6210"/>
    </row>
    <row r="6211" spans="1:19" x14ac:dyDescent="0.25">
      <c r="A6211" s="1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  <c r="P6211"/>
      <c r="Q6211"/>
      <c r="R6211"/>
      <c r="S6211"/>
    </row>
    <row r="6212" spans="1:19" x14ac:dyDescent="0.25">
      <c r="A6212" s="1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  <c r="P6212"/>
      <c r="Q6212"/>
      <c r="R6212"/>
      <c r="S6212"/>
    </row>
    <row r="6213" spans="1:19" x14ac:dyDescent="0.25">
      <c r="A6213" s="1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  <c r="P6213"/>
      <c r="Q6213"/>
      <c r="R6213"/>
      <c r="S6213"/>
    </row>
    <row r="6214" spans="1:19" x14ac:dyDescent="0.25">
      <c r="A6214" s="1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  <c r="P6214"/>
      <c r="Q6214"/>
      <c r="R6214"/>
      <c r="S6214"/>
    </row>
    <row r="6215" spans="1:19" x14ac:dyDescent="0.25">
      <c r="A6215" s="1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  <c r="P6215"/>
      <c r="Q6215"/>
      <c r="R6215"/>
      <c r="S6215"/>
    </row>
    <row r="6216" spans="1:19" x14ac:dyDescent="0.25">
      <c r="A6216" s="1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  <c r="P6216"/>
      <c r="Q6216"/>
      <c r="R6216"/>
      <c r="S6216"/>
    </row>
    <row r="6217" spans="1:19" x14ac:dyDescent="0.25">
      <c r="A6217" s="1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  <c r="P6217"/>
      <c r="Q6217"/>
      <c r="R6217"/>
      <c r="S6217"/>
    </row>
    <row r="6218" spans="1:19" x14ac:dyDescent="0.25">
      <c r="A6218" s="1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  <c r="P6218"/>
      <c r="Q6218"/>
      <c r="R6218"/>
      <c r="S6218"/>
    </row>
    <row r="6219" spans="1:19" x14ac:dyDescent="0.25">
      <c r="A6219" s="1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  <c r="P6219"/>
      <c r="Q6219"/>
      <c r="R6219"/>
      <c r="S6219"/>
    </row>
    <row r="6220" spans="1:19" x14ac:dyDescent="0.25">
      <c r="A6220" s="1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  <c r="P6220"/>
      <c r="Q6220"/>
      <c r="R6220"/>
      <c r="S6220"/>
    </row>
    <row r="6221" spans="1:19" x14ac:dyDescent="0.25">
      <c r="A6221" s="1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  <c r="P6221"/>
      <c r="Q6221"/>
      <c r="R6221"/>
      <c r="S6221"/>
    </row>
    <row r="6222" spans="1:19" x14ac:dyDescent="0.25">
      <c r="A6222" s="1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  <c r="P6222"/>
      <c r="Q6222"/>
      <c r="R6222"/>
      <c r="S6222"/>
    </row>
    <row r="6223" spans="1:19" x14ac:dyDescent="0.25">
      <c r="A6223" s="1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  <c r="P6223"/>
      <c r="Q6223"/>
      <c r="R6223"/>
      <c r="S6223"/>
    </row>
    <row r="6224" spans="1:19" x14ac:dyDescent="0.25">
      <c r="A6224" s="1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  <c r="P6224"/>
      <c r="Q6224"/>
      <c r="R6224"/>
      <c r="S6224"/>
    </row>
    <row r="6225" spans="1:19" x14ac:dyDescent="0.25">
      <c r="A6225" s="1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  <c r="P6225"/>
      <c r="Q6225"/>
      <c r="R6225"/>
      <c r="S6225"/>
    </row>
    <row r="6226" spans="1:19" x14ac:dyDescent="0.25">
      <c r="A6226" s="1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  <c r="P6226"/>
      <c r="Q6226"/>
      <c r="R6226"/>
      <c r="S6226"/>
    </row>
    <row r="6227" spans="1:19" x14ac:dyDescent="0.25">
      <c r="A6227" s="1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  <c r="P6227"/>
      <c r="Q6227"/>
      <c r="R6227"/>
      <c r="S6227"/>
    </row>
    <row r="6228" spans="1:19" x14ac:dyDescent="0.25">
      <c r="A6228" s="1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  <c r="P6228"/>
      <c r="Q6228"/>
      <c r="R6228"/>
      <c r="S6228"/>
    </row>
    <row r="6229" spans="1:19" x14ac:dyDescent="0.25">
      <c r="A6229" s="1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  <c r="P6229"/>
      <c r="Q6229"/>
      <c r="R6229"/>
      <c r="S6229"/>
    </row>
    <row r="6230" spans="1:19" x14ac:dyDescent="0.25">
      <c r="A6230" s="1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  <c r="P6230"/>
      <c r="Q6230"/>
      <c r="R6230"/>
      <c r="S6230"/>
    </row>
    <row r="6231" spans="1:19" x14ac:dyDescent="0.25">
      <c r="A6231" s="1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  <c r="P6231"/>
      <c r="Q6231"/>
      <c r="R6231"/>
      <c r="S6231"/>
    </row>
    <row r="6232" spans="1:19" x14ac:dyDescent="0.25">
      <c r="A6232" s="1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  <c r="P6232"/>
      <c r="Q6232"/>
      <c r="R6232"/>
      <c r="S6232"/>
    </row>
    <row r="6233" spans="1:19" x14ac:dyDescent="0.25">
      <c r="A6233" s="1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  <c r="P6233"/>
      <c r="Q6233"/>
      <c r="R6233"/>
      <c r="S6233"/>
    </row>
    <row r="6234" spans="1:19" x14ac:dyDescent="0.25">
      <c r="A6234" s="1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  <c r="P6234"/>
      <c r="Q6234"/>
      <c r="R6234"/>
      <c r="S6234"/>
    </row>
    <row r="6235" spans="1:19" x14ac:dyDescent="0.25">
      <c r="A6235" s="1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  <c r="P6235"/>
      <c r="Q6235"/>
      <c r="R6235"/>
      <c r="S6235"/>
    </row>
    <row r="6236" spans="1:19" x14ac:dyDescent="0.25">
      <c r="A6236" s="1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  <c r="P6236"/>
      <c r="Q6236"/>
      <c r="R6236"/>
      <c r="S6236"/>
    </row>
    <row r="6237" spans="1:19" x14ac:dyDescent="0.25">
      <c r="A6237" s="1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  <c r="P6237"/>
      <c r="Q6237"/>
      <c r="R6237"/>
      <c r="S6237"/>
    </row>
    <row r="6238" spans="1:19" x14ac:dyDescent="0.25">
      <c r="A6238" s="1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  <c r="P6238"/>
      <c r="Q6238"/>
      <c r="R6238"/>
      <c r="S6238"/>
    </row>
    <row r="6239" spans="1:19" x14ac:dyDescent="0.25">
      <c r="A6239" s="1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  <c r="P6239"/>
      <c r="Q6239"/>
      <c r="R6239"/>
      <c r="S6239"/>
    </row>
    <row r="6240" spans="1:19" x14ac:dyDescent="0.25">
      <c r="A6240" s="1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  <c r="P6240"/>
      <c r="Q6240"/>
      <c r="R6240"/>
      <c r="S6240"/>
    </row>
    <row r="6241" spans="1:19" x14ac:dyDescent="0.25">
      <c r="A6241" s="1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  <c r="P6241"/>
      <c r="Q6241"/>
      <c r="R6241"/>
      <c r="S6241"/>
    </row>
    <row r="6242" spans="1:19" x14ac:dyDescent="0.25">
      <c r="A6242" s="1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  <c r="P6242"/>
      <c r="Q6242"/>
      <c r="R6242"/>
      <c r="S6242"/>
    </row>
    <row r="6243" spans="1:19" x14ac:dyDescent="0.25">
      <c r="A6243" s="1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  <c r="P6243"/>
      <c r="Q6243"/>
      <c r="R6243"/>
      <c r="S6243"/>
    </row>
    <row r="6244" spans="1:19" x14ac:dyDescent="0.25">
      <c r="A6244" s="1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  <c r="P6244"/>
      <c r="Q6244"/>
      <c r="R6244"/>
      <c r="S6244"/>
    </row>
    <row r="6245" spans="1:19" x14ac:dyDescent="0.25">
      <c r="A6245" s="1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  <c r="P6245"/>
      <c r="Q6245"/>
      <c r="R6245"/>
      <c r="S6245"/>
    </row>
    <row r="6246" spans="1:19" x14ac:dyDescent="0.25">
      <c r="A6246" s="1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  <c r="P6246"/>
      <c r="Q6246"/>
      <c r="R6246"/>
      <c r="S6246"/>
    </row>
    <row r="6247" spans="1:19" x14ac:dyDescent="0.25">
      <c r="A6247" s="1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  <c r="P6247"/>
      <c r="Q6247"/>
      <c r="R6247"/>
      <c r="S6247"/>
    </row>
    <row r="6248" spans="1:19" x14ac:dyDescent="0.25">
      <c r="A6248" s="1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  <c r="P6248"/>
      <c r="Q6248"/>
      <c r="R6248"/>
      <c r="S6248"/>
    </row>
    <row r="6249" spans="1:19" x14ac:dyDescent="0.25">
      <c r="A6249" s="1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  <c r="P6249"/>
      <c r="Q6249"/>
      <c r="R6249"/>
      <c r="S6249"/>
    </row>
    <row r="6250" spans="1:19" x14ac:dyDescent="0.25">
      <c r="A6250" s="1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  <c r="P6250"/>
      <c r="Q6250"/>
      <c r="R6250"/>
      <c r="S6250"/>
    </row>
    <row r="6251" spans="1:19" x14ac:dyDescent="0.25">
      <c r="A6251" s="1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  <c r="P6251"/>
      <c r="Q6251"/>
      <c r="R6251"/>
      <c r="S6251"/>
    </row>
    <row r="6252" spans="1:19" x14ac:dyDescent="0.25">
      <c r="A6252" s="1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  <c r="P6252"/>
      <c r="Q6252"/>
      <c r="R6252"/>
      <c r="S6252"/>
    </row>
    <row r="6253" spans="1:19" x14ac:dyDescent="0.25">
      <c r="A6253" s="1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  <c r="P6253"/>
      <c r="Q6253"/>
      <c r="R6253"/>
      <c r="S6253"/>
    </row>
    <row r="6254" spans="1:19" x14ac:dyDescent="0.25">
      <c r="A6254" s="1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  <c r="P6254"/>
      <c r="Q6254"/>
      <c r="R6254"/>
      <c r="S6254"/>
    </row>
    <row r="6255" spans="1:19" x14ac:dyDescent="0.25">
      <c r="A6255" s="1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  <c r="P6255"/>
      <c r="Q6255"/>
      <c r="R6255"/>
      <c r="S6255"/>
    </row>
    <row r="6256" spans="1:19" x14ac:dyDescent="0.25">
      <c r="A6256" s="1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  <c r="P6256"/>
      <c r="Q6256"/>
      <c r="R6256"/>
      <c r="S6256"/>
    </row>
    <row r="6257" spans="1:19" x14ac:dyDescent="0.25">
      <c r="A6257" s="1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  <c r="P6257"/>
      <c r="Q6257"/>
      <c r="R6257"/>
      <c r="S6257"/>
    </row>
    <row r="6258" spans="1:19" x14ac:dyDescent="0.25">
      <c r="A6258" s="1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  <c r="P6258"/>
      <c r="Q6258"/>
      <c r="R6258"/>
      <c r="S6258"/>
    </row>
    <row r="6259" spans="1:19" x14ac:dyDescent="0.25">
      <c r="A6259" s="1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  <c r="P6259"/>
      <c r="Q6259"/>
      <c r="R6259"/>
      <c r="S6259"/>
    </row>
    <row r="6260" spans="1:19" x14ac:dyDescent="0.25">
      <c r="A6260" s="1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  <c r="P6260"/>
      <c r="Q6260"/>
      <c r="R6260"/>
      <c r="S6260"/>
    </row>
    <row r="6261" spans="1:19" x14ac:dyDescent="0.25">
      <c r="A6261" s="1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  <c r="P6261"/>
      <c r="Q6261"/>
      <c r="R6261"/>
      <c r="S6261"/>
    </row>
    <row r="6262" spans="1:19" x14ac:dyDescent="0.25">
      <c r="A6262" s="1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  <c r="P6262"/>
      <c r="Q6262"/>
      <c r="R6262"/>
      <c r="S6262"/>
    </row>
    <row r="6263" spans="1:19" x14ac:dyDescent="0.25">
      <c r="A6263" s="1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  <c r="P6263"/>
      <c r="Q6263"/>
      <c r="R6263"/>
      <c r="S6263"/>
    </row>
    <row r="6264" spans="1:19" x14ac:dyDescent="0.25">
      <c r="A6264" s="1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  <c r="P6264"/>
      <c r="Q6264"/>
      <c r="R6264"/>
      <c r="S6264"/>
    </row>
    <row r="6265" spans="1:19" x14ac:dyDescent="0.25">
      <c r="A6265" s="1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  <c r="P6265"/>
      <c r="Q6265"/>
      <c r="R6265"/>
      <c r="S6265"/>
    </row>
    <row r="6266" spans="1:19" x14ac:dyDescent="0.25">
      <c r="A6266" s="1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  <c r="P6266"/>
      <c r="Q6266"/>
      <c r="R6266"/>
      <c r="S6266"/>
    </row>
    <row r="6267" spans="1:19" x14ac:dyDescent="0.25">
      <c r="A6267" s="1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  <c r="P6267"/>
      <c r="Q6267"/>
      <c r="R6267"/>
      <c r="S6267"/>
    </row>
    <row r="6268" spans="1:19" x14ac:dyDescent="0.25">
      <c r="A6268" s="1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  <c r="P6268"/>
      <c r="Q6268"/>
      <c r="R6268"/>
      <c r="S6268"/>
    </row>
    <row r="6269" spans="1:19" x14ac:dyDescent="0.25">
      <c r="A6269" s="1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  <c r="P6269"/>
      <c r="Q6269"/>
      <c r="R6269"/>
      <c r="S6269"/>
    </row>
    <row r="6270" spans="1:19" x14ac:dyDescent="0.25">
      <c r="A6270" s="1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  <c r="P6270"/>
      <c r="Q6270"/>
      <c r="R6270"/>
      <c r="S6270"/>
    </row>
    <row r="6271" spans="1:19" x14ac:dyDescent="0.25">
      <c r="A6271" s="1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  <c r="P6271"/>
      <c r="Q6271"/>
      <c r="R6271"/>
      <c r="S6271"/>
    </row>
    <row r="6272" spans="1:19" x14ac:dyDescent="0.25">
      <c r="A6272" s="1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  <c r="P6272"/>
      <c r="Q6272"/>
      <c r="R6272"/>
      <c r="S6272"/>
    </row>
    <row r="6273" spans="1:19" x14ac:dyDescent="0.25">
      <c r="A6273" s="1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  <c r="P6273"/>
      <c r="Q6273"/>
      <c r="R6273"/>
      <c r="S6273"/>
    </row>
    <row r="6274" spans="1:19" x14ac:dyDescent="0.25">
      <c r="A6274" s="1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  <c r="P6274"/>
      <c r="Q6274"/>
      <c r="R6274"/>
      <c r="S6274"/>
    </row>
    <row r="6275" spans="1:19" x14ac:dyDescent="0.25">
      <c r="A6275" s="1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  <c r="P6275"/>
      <c r="Q6275"/>
      <c r="R6275"/>
      <c r="S6275"/>
    </row>
    <row r="6276" spans="1:19" x14ac:dyDescent="0.25">
      <c r="A6276" s="1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  <c r="P6276"/>
      <c r="Q6276"/>
      <c r="R6276"/>
      <c r="S6276"/>
    </row>
    <row r="6277" spans="1:19" x14ac:dyDescent="0.25">
      <c r="A6277" s="1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  <c r="P6277"/>
      <c r="Q6277"/>
      <c r="R6277"/>
      <c r="S6277"/>
    </row>
    <row r="6278" spans="1:19" x14ac:dyDescent="0.25">
      <c r="A6278" s="1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  <c r="P6278"/>
      <c r="Q6278"/>
      <c r="R6278"/>
      <c r="S6278"/>
    </row>
    <row r="6279" spans="1:19" x14ac:dyDescent="0.25">
      <c r="A6279" s="1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  <c r="P6279"/>
      <c r="Q6279"/>
      <c r="R6279"/>
      <c r="S6279"/>
    </row>
    <row r="6280" spans="1:19" x14ac:dyDescent="0.25">
      <c r="A6280" s="1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  <c r="P6280"/>
      <c r="Q6280"/>
      <c r="R6280"/>
      <c r="S6280"/>
    </row>
    <row r="6281" spans="1:19" x14ac:dyDescent="0.25">
      <c r="A6281" s="1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  <c r="P6281"/>
      <c r="Q6281"/>
      <c r="R6281"/>
      <c r="S6281"/>
    </row>
    <row r="6282" spans="1:19" x14ac:dyDescent="0.25">
      <c r="A6282" s="1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  <c r="P6282"/>
      <c r="Q6282"/>
      <c r="R6282"/>
      <c r="S6282"/>
    </row>
    <row r="6283" spans="1:19" x14ac:dyDescent="0.25">
      <c r="A6283" s="1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  <c r="P6283"/>
      <c r="Q6283"/>
      <c r="R6283"/>
      <c r="S6283"/>
    </row>
    <row r="6284" spans="1:19" x14ac:dyDescent="0.25">
      <c r="A6284" s="1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  <c r="P6284"/>
      <c r="Q6284"/>
      <c r="R6284"/>
      <c r="S6284"/>
    </row>
    <row r="6285" spans="1:19" x14ac:dyDescent="0.25">
      <c r="A6285" s="1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  <c r="P6285"/>
      <c r="Q6285"/>
      <c r="R6285"/>
      <c r="S6285"/>
    </row>
    <row r="6286" spans="1:19" x14ac:dyDescent="0.25">
      <c r="A6286" s="1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  <c r="P6286"/>
      <c r="Q6286"/>
      <c r="R6286"/>
      <c r="S6286"/>
    </row>
    <row r="6287" spans="1:19" x14ac:dyDescent="0.25">
      <c r="A6287" s="1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  <c r="P6287"/>
      <c r="Q6287"/>
      <c r="R6287"/>
      <c r="S6287"/>
    </row>
    <row r="6288" spans="1:19" x14ac:dyDescent="0.25">
      <c r="A6288" s="1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  <c r="P6288"/>
      <c r="Q6288"/>
      <c r="R6288"/>
      <c r="S6288"/>
    </row>
    <row r="6289" spans="1:19" x14ac:dyDescent="0.25">
      <c r="A6289" s="1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  <c r="P6289"/>
      <c r="Q6289"/>
      <c r="R6289"/>
      <c r="S6289"/>
    </row>
    <row r="6290" spans="1:19" x14ac:dyDescent="0.25">
      <c r="A6290" s="1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  <c r="P6290"/>
      <c r="Q6290"/>
      <c r="R6290"/>
      <c r="S6290"/>
    </row>
    <row r="6291" spans="1:19" x14ac:dyDescent="0.25">
      <c r="A6291" s="1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  <c r="P6291"/>
      <c r="Q6291"/>
      <c r="R6291"/>
      <c r="S6291"/>
    </row>
    <row r="6292" spans="1:19" x14ac:dyDescent="0.25">
      <c r="A6292" s="1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  <c r="P6292"/>
      <c r="Q6292"/>
      <c r="R6292"/>
      <c r="S6292"/>
    </row>
    <row r="6293" spans="1:19" x14ac:dyDescent="0.25">
      <c r="A6293" s="1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  <c r="P6293"/>
      <c r="Q6293"/>
      <c r="R6293"/>
      <c r="S6293"/>
    </row>
    <row r="6294" spans="1:19" x14ac:dyDescent="0.25">
      <c r="A6294" s="1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  <c r="P6294"/>
      <c r="Q6294"/>
      <c r="R6294"/>
      <c r="S6294"/>
    </row>
    <row r="6295" spans="1:19" x14ac:dyDescent="0.25">
      <c r="A6295" s="1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  <c r="P6295"/>
      <c r="Q6295"/>
      <c r="R6295"/>
      <c r="S6295"/>
    </row>
    <row r="6296" spans="1:19" x14ac:dyDescent="0.25">
      <c r="A6296" s="1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  <c r="P6296"/>
      <c r="Q6296"/>
      <c r="R6296"/>
      <c r="S6296"/>
    </row>
    <row r="6297" spans="1:19" x14ac:dyDescent="0.25">
      <c r="A6297" s="1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  <c r="P6297"/>
      <c r="Q6297"/>
      <c r="R6297"/>
      <c r="S6297"/>
    </row>
    <row r="6298" spans="1:19" x14ac:dyDescent="0.25">
      <c r="A6298" s="1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  <c r="P6298"/>
      <c r="Q6298"/>
      <c r="R6298"/>
      <c r="S6298"/>
    </row>
    <row r="6299" spans="1:19" x14ac:dyDescent="0.25">
      <c r="A6299" s="1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  <c r="P6299"/>
      <c r="Q6299"/>
      <c r="R6299"/>
      <c r="S6299"/>
    </row>
    <row r="6300" spans="1:19" x14ac:dyDescent="0.25">
      <c r="A6300" s="1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  <c r="P6300"/>
      <c r="Q6300"/>
      <c r="R6300"/>
      <c r="S6300"/>
    </row>
    <row r="6301" spans="1:19" x14ac:dyDescent="0.25">
      <c r="A6301" s="1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  <c r="P6301"/>
      <c r="Q6301"/>
      <c r="R6301"/>
      <c r="S6301"/>
    </row>
    <row r="6302" spans="1:19" x14ac:dyDescent="0.25">
      <c r="A6302" s="1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  <c r="P6302"/>
      <c r="Q6302"/>
      <c r="R6302"/>
      <c r="S6302"/>
    </row>
    <row r="6303" spans="1:19" x14ac:dyDescent="0.25">
      <c r="A6303" s="1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  <c r="P6303"/>
      <c r="Q6303"/>
      <c r="R6303"/>
      <c r="S6303"/>
    </row>
    <row r="6304" spans="1:19" x14ac:dyDescent="0.25">
      <c r="A6304" s="1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  <c r="P6304"/>
      <c r="Q6304"/>
      <c r="R6304"/>
      <c r="S6304"/>
    </row>
    <row r="6305" spans="1:19" x14ac:dyDescent="0.25">
      <c r="A6305" s="1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  <c r="P6305"/>
      <c r="Q6305"/>
      <c r="R6305"/>
      <c r="S6305"/>
    </row>
    <row r="6306" spans="1:19" x14ac:dyDescent="0.25">
      <c r="A6306" s="1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  <c r="P6306"/>
      <c r="Q6306"/>
      <c r="R6306"/>
      <c r="S6306"/>
    </row>
    <row r="6307" spans="1:19" x14ac:dyDescent="0.25">
      <c r="A6307" s="1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  <c r="P6307"/>
      <c r="Q6307"/>
      <c r="R6307"/>
      <c r="S6307"/>
    </row>
    <row r="6308" spans="1:19" x14ac:dyDescent="0.25">
      <c r="A6308" s="1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  <c r="P6308"/>
      <c r="Q6308"/>
      <c r="R6308"/>
      <c r="S6308"/>
    </row>
    <row r="6309" spans="1:19" x14ac:dyDescent="0.25">
      <c r="A6309" s="1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  <c r="P6309"/>
      <c r="Q6309"/>
      <c r="R6309"/>
      <c r="S6309"/>
    </row>
    <row r="6310" spans="1:19" x14ac:dyDescent="0.25">
      <c r="A6310" s="1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  <c r="P6310"/>
      <c r="Q6310"/>
      <c r="R6310"/>
      <c r="S6310"/>
    </row>
    <row r="6311" spans="1:19" x14ac:dyDescent="0.25">
      <c r="A6311" s="1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  <c r="P6311"/>
      <c r="Q6311"/>
      <c r="R6311"/>
      <c r="S6311"/>
    </row>
    <row r="6312" spans="1:19" x14ac:dyDescent="0.25">
      <c r="A6312" s="1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  <c r="P6312"/>
      <c r="Q6312"/>
      <c r="R6312"/>
      <c r="S6312"/>
    </row>
    <row r="6313" spans="1:19" x14ac:dyDescent="0.25">
      <c r="A6313" s="1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  <c r="P6313"/>
      <c r="Q6313"/>
      <c r="R6313"/>
      <c r="S6313"/>
    </row>
    <row r="6314" spans="1:19" x14ac:dyDescent="0.25">
      <c r="A6314" s="1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  <c r="P6314"/>
      <c r="Q6314"/>
      <c r="R6314"/>
      <c r="S6314"/>
    </row>
    <row r="6315" spans="1:19" x14ac:dyDescent="0.25">
      <c r="A6315" s="1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  <c r="P6315"/>
      <c r="Q6315"/>
      <c r="R6315"/>
      <c r="S6315"/>
    </row>
    <row r="6316" spans="1:19" x14ac:dyDescent="0.25">
      <c r="A6316" s="1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  <c r="P6316"/>
      <c r="Q6316"/>
      <c r="R6316"/>
      <c r="S6316"/>
    </row>
    <row r="6317" spans="1:19" x14ac:dyDescent="0.25">
      <c r="A6317" s="1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  <c r="P6317"/>
      <c r="Q6317"/>
      <c r="R6317"/>
      <c r="S6317"/>
    </row>
    <row r="6318" spans="1:19" x14ac:dyDescent="0.25">
      <c r="A6318" s="1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  <c r="P6318"/>
      <c r="Q6318"/>
      <c r="R6318"/>
      <c r="S6318"/>
    </row>
    <row r="6319" spans="1:19" x14ac:dyDescent="0.25">
      <c r="A6319" s="1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  <c r="P6319"/>
      <c r="Q6319"/>
      <c r="R6319"/>
      <c r="S6319"/>
    </row>
    <row r="6320" spans="1:19" x14ac:dyDescent="0.25">
      <c r="A6320" s="1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  <c r="P6320"/>
      <c r="Q6320"/>
      <c r="R6320"/>
      <c r="S6320"/>
    </row>
    <row r="6321" spans="1:19" x14ac:dyDescent="0.25">
      <c r="A6321" s="1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  <c r="P6321"/>
      <c r="Q6321"/>
      <c r="R6321"/>
      <c r="S6321"/>
    </row>
    <row r="6322" spans="1:19" x14ac:dyDescent="0.25">
      <c r="A6322" s="1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  <c r="P6322"/>
      <c r="Q6322"/>
      <c r="R6322"/>
      <c r="S6322"/>
    </row>
    <row r="6323" spans="1:19" x14ac:dyDescent="0.25">
      <c r="A6323" s="1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  <c r="P6323"/>
      <c r="Q6323"/>
      <c r="R6323"/>
      <c r="S6323"/>
    </row>
    <row r="6324" spans="1:19" x14ac:dyDescent="0.25">
      <c r="A6324" s="1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  <c r="P6324"/>
      <c r="Q6324"/>
      <c r="R6324"/>
      <c r="S6324"/>
    </row>
    <row r="6325" spans="1:19" x14ac:dyDescent="0.25">
      <c r="A6325" s="1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  <c r="P6325"/>
      <c r="Q6325"/>
      <c r="R6325"/>
      <c r="S6325"/>
    </row>
    <row r="6326" spans="1:19" x14ac:dyDescent="0.25">
      <c r="A6326" s="1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  <c r="P6326"/>
      <c r="Q6326"/>
      <c r="R6326"/>
      <c r="S6326"/>
    </row>
    <row r="6327" spans="1:19" x14ac:dyDescent="0.25">
      <c r="A6327" s="1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  <c r="P6327"/>
      <c r="Q6327"/>
      <c r="R6327"/>
      <c r="S6327"/>
    </row>
    <row r="6328" spans="1:19" x14ac:dyDescent="0.25">
      <c r="A6328" s="1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  <c r="P6328"/>
      <c r="Q6328"/>
      <c r="R6328"/>
      <c r="S6328"/>
    </row>
    <row r="6329" spans="1:19" x14ac:dyDescent="0.25">
      <c r="A6329" s="1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  <c r="P6329"/>
      <c r="Q6329"/>
      <c r="R6329"/>
      <c r="S6329"/>
    </row>
    <row r="6330" spans="1:19" x14ac:dyDescent="0.25">
      <c r="A6330" s="1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  <c r="P6330"/>
      <c r="Q6330"/>
      <c r="R6330"/>
      <c r="S6330"/>
    </row>
    <row r="6331" spans="1:19" x14ac:dyDescent="0.25">
      <c r="A6331" s="1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  <c r="P6331"/>
      <c r="Q6331"/>
      <c r="R6331"/>
      <c r="S6331"/>
    </row>
    <row r="6332" spans="1:19" x14ac:dyDescent="0.25">
      <c r="A6332" s="1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  <c r="P6332"/>
      <c r="Q6332"/>
      <c r="R6332"/>
      <c r="S6332"/>
    </row>
    <row r="6333" spans="1:19" x14ac:dyDescent="0.25">
      <c r="A6333" s="1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  <c r="P6333"/>
      <c r="Q6333"/>
      <c r="R6333"/>
      <c r="S6333"/>
    </row>
    <row r="6334" spans="1:19" x14ac:dyDescent="0.25">
      <c r="A6334" s="1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  <c r="P6334"/>
      <c r="Q6334"/>
      <c r="R6334"/>
      <c r="S6334"/>
    </row>
    <row r="6335" spans="1:19" x14ac:dyDescent="0.25">
      <c r="A6335" s="1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  <c r="P6335"/>
      <c r="Q6335"/>
      <c r="R6335"/>
      <c r="S6335"/>
    </row>
    <row r="6336" spans="1:19" x14ac:dyDescent="0.25">
      <c r="A6336" s="1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  <c r="P6336"/>
      <c r="Q6336"/>
      <c r="R6336"/>
      <c r="S6336"/>
    </row>
    <row r="6337" spans="1:19" x14ac:dyDescent="0.25">
      <c r="A6337" s="1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  <c r="P6337"/>
      <c r="Q6337"/>
      <c r="R6337"/>
      <c r="S6337"/>
    </row>
    <row r="6338" spans="1:19" x14ac:dyDescent="0.25">
      <c r="A6338" s="1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  <c r="P6338"/>
      <c r="Q6338"/>
      <c r="R6338"/>
      <c r="S6338"/>
    </row>
    <row r="6339" spans="1:19" x14ac:dyDescent="0.25">
      <c r="A6339" s="1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  <c r="P6339"/>
      <c r="Q6339"/>
      <c r="R6339"/>
      <c r="S6339"/>
    </row>
    <row r="6340" spans="1:19" x14ac:dyDescent="0.25">
      <c r="A6340" s="1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  <c r="P6340"/>
      <c r="Q6340"/>
      <c r="R6340"/>
      <c r="S6340"/>
    </row>
    <row r="6341" spans="1:19" x14ac:dyDescent="0.25">
      <c r="A6341" s="1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  <c r="P6341"/>
      <c r="Q6341"/>
      <c r="R6341"/>
      <c r="S6341"/>
    </row>
    <row r="6342" spans="1:19" x14ac:dyDescent="0.25">
      <c r="A6342" s="1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  <c r="P6342"/>
      <c r="Q6342"/>
      <c r="R6342"/>
      <c r="S6342"/>
    </row>
    <row r="6343" spans="1:19" x14ac:dyDescent="0.25">
      <c r="A6343" s="1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  <c r="P6343"/>
      <c r="Q6343"/>
      <c r="R6343"/>
      <c r="S6343"/>
    </row>
    <row r="6344" spans="1:19" x14ac:dyDescent="0.25">
      <c r="A6344" s="1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  <c r="P6344"/>
      <c r="Q6344"/>
      <c r="R6344"/>
      <c r="S6344"/>
    </row>
    <row r="6345" spans="1:19" x14ac:dyDescent="0.25">
      <c r="A6345" s="1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  <c r="P6345"/>
      <c r="Q6345"/>
      <c r="R6345"/>
      <c r="S6345"/>
    </row>
    <row r="6346" spans="1:19" x14ac:dyDescent="0.25">
      <c r="A6346" s="1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  <c r="P6346"/>
      <c r="Q6346"/>
      <c r="R6346"/>
      <c r="S6346"/>
    </row>
    <row r="6347" spans="1:19" x14ac:dyDescent="0.25">
      <c r="A6347" s="1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  <c r="P6347"/>
      <c r="Q6347"/>
      <c r="R6347"/>
      <c r="S6347"/>
    </row>
    <row r="6348" spans="1:19" x14ac:dyDescent="0.25">
      <c r="A6348" s="1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  <c r="P6348"/>
      <c r="Q6348"/>
      <c r="R6348"/>
      <c r="S6348"/>
    </row>
    <row r="6349" spans="1:19" x14ac:dyDescent="0.25">
      <c r="A6349" s="1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  <c r="P6349"/>
      <c r="Q6349"/>
      <c r="R6349"/>
      <c r="S6349"/>
    </row>
    <row r="6350" spans="1:19" x14ac:dyDescent="0.25">
      <c r="A6350" s="1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  <c r="P6350"/>
      <c r="Q6350"/>
      <c r="R6350"/>
      <c r="S6350"/>
    </row>
    <row r="6351" spans="1:19" x14ac:dyDescent="0.25">
      <c r="A6351" s="1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  <c r="P6351"/>
      <c r="Q6351"/>
      <c r="R6351"/>
      <c r="S6351"/>
    </row>
    <row r="6352" spans="1:19" x14ac:dyDescent="0.25">
      <c r="A6352" s="1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  <c r="P6352"/>
      <c r="Q6352"/>
      <c r="R6352"/>
      <c r="S6352"/>
    </row>
    <row r="6353" spans="1:19" x14ac:dyDescent="0.25">
      <c r="A6353" s="1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  <c r="P6353"/>
      <c r="Q6353"/>
      <c r="R6353"/>
      <c r="S6353"/>
    </row>
    <row r="6354" spans="1:19" x14ac:dyDescent="0.25">
      <c r="A6354" s="1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  <c r="P6354"/>
      <c r="Q6354"/>
      <c r="R6354"/>
      <c r="S6354"/>
    </row>
    <row r="6355" spans="1:19" x14ac:dyDescent="0.25">
      <c r="A6355" s="1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  <c r="P6355"/>
      <c r="Q6355"/>
      <c r="R6355"/>
      <c r="S6355"/>
    </row>
    <row r="6356" spans="1:19" x14ac:dyDescent="0.25">
      <c r="A6356" s="1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  <c r="P6356"/>
      <c r="Q6356"/>
      <c r="R6356"/>
      <c r="S6356"/>
    </row>
    <row r="6357" spans="1:19" x14ac:dyDescent="0.25">
      <c r="A6357" s="1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  <c r="P6357"/>
      <c r="Q6357"/>
      <c r="R6357"/>
      <c r="S6357"/>
    </row>
    <row r="6358" spans="1:19" x14ac:dyDescent="0.25">
      <c r="A6358" s="1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  <c r="P6358"/>
      <c r="Q6358"/>
      <c r="R6358"/>
      <c r="S6358"/>
    </row>
    <row r="6359" spans="1:19" x14ac:dyDescent="0.25">
      <c r="A6359" s="1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  <c r="P6359"/>
      <c r="Q6359"/>
      <c r="R6359"/>
      <c r="S6359"/>
    </row>
    <row r="6360" spans="1:19" x14ac:dyDescent="0.25">
      <c r="A6360" s="1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  <c r="P6360"/>
      <c r="Q6360"/>
      <c r="R6360"/>
      <c r="S6360"/>
    </row>
    <row r="6361" spans="1:19" x14ac:dyDescent="0.25">
      <c r="A6361" s="1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  <c r="P6361"/>
      <c r="Q6361"/>
      <c r="R6361"/>
      <c r="S6361"/>
    </row>
    <row r="6362" spans="1:19" x14ac:dyDescent="0.25">
      <c r="A6362" s="1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  <c r="P6362"/>
      <c r="Q6362"/>
      <c r="R6362"/>
      <c r="S6362"/>
    </row>
    <row r="6363" spans="1:19" x14ac:dyDescent="0.25">
      <c r="A6363" s="1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  <c r="P6363"/>
      <c r="Q6363"/>
      <c r="R6363"/>
      <c r="S6363"/>
    </row>
    <row r="6364" spans="1:19" x14ac:dyDescent="0.25">
      <c r="A6364" s="1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  <c r="P6364"/>
      <c r="Q6364"/>
      <c r="R6364"/>
      <c r="S6364"/>
    </row>
    <row r="6365" spans="1:19" x14ac:dyDescent="0.25">
      <c r="A6365" s="1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  <c r="P6365"/>
      <c r="Q6365"/>
      <c r="R6365"/>
      <c r="S6365"/>
    </row>
    <row r="6366" spans="1:19" x14ac:dyDescent="0.25">
      <c r="A6366" s="1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  <c r="P6366"/>
      <c r="Q6366"/>
      <c r="R6366"/>
      <c r="S6366"/>
    </row>
    <row r="6367" spans="1:19" x14ac:dyDescent="0.25">
      <c r="A6367" s="1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  <c r="P6367"/>
      <c r="Q6367"/>
      <c r="R6367"/>
      <c r="S6367"/>
    </row>
    <row r="6368" spans="1:19" x14ac:dyDescent="0.25">
      <c r="A6368" s="1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  <c r="P6368"/>
      <c r="Q6368"/>
      <c r="R6368"/>
      <c r="S6368"/>
    </row>
    <row r="6369" spans="1:19" x14ac:dyDescent="0.25">
      <c r="A6369" s="1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  <c r="P6369"/>
      <c r="Q6369"/>
      <c r="R6369"/>
      <c r="S6369"/>
    </row>
    <row r="6370" spans="1:19" x14ac:dyDescent="0.25">
      <c r="A6370" s="1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  <c r="P6370"/>
      <c r="Q6370"/>
      <c r="R6370"/>
      <c r="S6370"/>
    </row>
    <row r="6371" spans="1:19" x14ac:dyDescent="0.25">
      <c r="A6371" s="1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  <c r="P6371"/>
      <c r="Q6371"/>
      <c r="R6371"/>
      <c r="S6371"/>
    </row>
    <row r="6372" spans="1:19" x14ac:dyDescent="0.25">
      <c r="A6372" s="1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  <c r="P6372"/>
      <c r="Q6372"/>
      <c r="R6372"/>
      <c r="S6372"/>
    </row>
    <row r="6373" spans="1:19" x14ac:dyDescent="0.25">
      <c r="A6373" s="1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  <c r="P6373"/>
      <c r="Q6373"/>
      <c r="R6373"/>
      <c r="S6373"/>
    </row>
    <row r="6374" spans="1:19" x14ac:dyDescent="0.25">
      <c r="A6374" s="1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  <c r="P6374"/>
      <c r="Q6374"/>
      <c r="R6374"/>
      <c r="S6374"/>
    </row>
    <row r="6375" spans="1:19" x14ac:dyDescent="0.25">
      <c r="A6375" s="1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  <c r="P6375"/>
      <c r="Q6375"/>
      <c r="R6375"/>
      <c r="S6375"/>
    </row>
    <row r="6376" spans="1:19" x14ac:dyDescent="0.25">
      <c r="A6376" s="1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  <c r="P6376"/>
      <c r="Q6376"/>
      <c r="R6376"/>
      <c r="S6376"/>
    </row>
    <row r="6377" spans="1:19" x14ac:dyDescent="0.25">
      <c r="A6377" s="1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  <c r="P6377"/>
      <c r="Q6377"/>
      <c r="R6377"/>
      <c r="S6377"/>
    </row>
    <row r="6378" spans="1:19" x14ac:dyDescent="0.25">
      <c r="A6378" s="1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  <c r="P6378"/>
      <c r="Q6378"/>
      <c r="R6378"/>
      <c r="S6378"/>
    </row>
    <row r="6379" spans="1:19" x14ac:dyDescent="0.25">
      <c r="A6379" s="1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  <c r="P6379"/>
      <c r="Q6379"/>
      <c r="R6379"/>
      <c r="S6379"/>
    </row>
    <row r="6380" spans="1:19" x14ac:dyDescent="0.25">
      <c r="A6380" s="1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  <c r="P6380"/>
      <c r="Q6380"/>
      <c r="R6380"/>
      <c r="S6380"/>
    </row>
    <row r="6381" spans="1:19" x14ac:dyDescent="0.25">
      <c r="A6381" s="1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  <c r="P6381"/>
      <c r="Q6381"/>
      <c r="R6381"/>
      <c r="S6381"/>
    </row>
    <row r="6382" spans="1:19" x14ac:dyDescent="0.25">
      <c r="A6382" s="1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  <c r="P6382"/>
      <c r="Q6382"/>
      <c r="R6382"/>
      <c r="S6382"/>
    </row>
    <row r="6383" spans="1:19" x14ac:dyDescent="0.25">
      <c r="A6383" s="1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  <c r="P6383"/>
      <c r="Q6383"/>
      <c r="R6383"/>
      <c r="S6383"/>
    </row>
    <row r="6384" spans="1:19" x14ac:dyDescent="0.25">
      <c r="A6384" s="1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  <c r="P6384"/>
      <c r="Q6384"/>
      <c r="R6384"/>
      <c r="S6384"/>
    </row>
    <row r="6385" spans="1:19" x14ac:dyDescent="0.25">
      <c r="A6385" s="1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  <c r="P6385"/>
      <c r="Q6385"/>
      <c r="R6385"/>
      <c r="S6385"/>
    </row>
    <row r="6386" spans="1:19" x14ac:dyDescent="0.25">
      <c r="A6386" s="1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  <c r="P6386"/>
      <c r="Q6386"/>
      <c r="R6386"/>
      <c r="S6386"/>
    </row>
    <row r="6387" spans="1:19" x14ac:dyDescent="0.25">
      <c r="A6387" s="1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  <c r="P6387"/>
      <c r="Q6387"/>
      <c r="R6387"/>
      <c r="S6387"/>
    </row>
    <row r="6388" spans="1:19" x14ac:dyDescent="0.25">
      <c r="A6388" s="1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  <c r="P6388"/>
      <c r="Q6388"/>
      <c r="R6388"/>
      <c r="S6388"/>
    </row>
    <row r="6389" spans="1:19" x14ac:dyDescent="0.25">
      <c r="A6389" s="1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  <c r="P6389"/>
      <c r="Q6389"/>
      <c r="R6389"/>
      <c r="S6389"/>
    </row>
    <row r="6390" spans="1:19" x14ac:dyDescent="0.25">
      <c r="A6390" s="1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  <c r="P6390"/>
      <c r="Q6390"/>
      <c r="R6390"/>
      <c r="S6390"/>
    </row>
    <row r="6391" spans="1:19" x14ac:dyDescent="0.25">
      <c r="A6391" s="1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  <c r="P6391"/>
      <c r="Q6391"/>
      <c r="R6391"/>
      <c r="S6391"/>
    </row>
    <row r="6392" spans="1:19" x14ac:dyDescent="0.25">
      <c r="A6392" s="1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  <c r="P6392"/>
      <c r="Q6392"/>
      <c r="R6392"/>
      <c r="S6392"/>
    </row>
    <row r="6393" spans="1:19" x14ac:dyDescent="0.25">
      <c r="A6393" s="1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  <c r="P6393"/>
      <c r="Q6393"/>
      <c r="R6393"/>
      <c r="S6393"/>
    </row>
    <row r="6394" spans="1:19" x14ac:dyDescent="0.25">
      <c r="A6394" s="1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  <c r="P6394"/>
      <c r="Q6394"/>
      <c r="R6394"/>
      <c r="S6394"/>
    </row>
    <row r="6395" spans="1:19" x14ac:dyDescent="0.25">
      <c r="A6395" s="1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  <c r="P6395"/>
      <c r="Q6395"/>
      <c r="R6395"/>
      <c r="S6395"/>
    </row>
    <row r="6396" spans="1:19" x14ac:dyDescent="0.25">
      <c r="A6396" s="1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  <c r="P6396"/>
      <c r="Q6396"/>
      <c r="R6396"/>
      <c r="S6396"/>
    </row>
    <row r="6397" spans="1:19" x14ac:dyDescent="0.25">
      <c r="A6397" s="1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  <c r="P6397"/>
      <c r="Q6397"/>
      <c r="R6397"/>
      <c r="S6397"/>
    </row>
    <row r="6398" spans="1:19" x14ac:dyDescent="0.25">
      <c r="A6398" s="1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  <c r="P6398"/>
      <c r="Q6398"/>
      <c r="R6398"/>
      <c r="S6398"/>
    </row>
    <row r="6399" spans="1:19" x14ac:dyDescent="0.25">
      <c r="A6399" s="1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  <c r="P6399"/>
      <c r="Q6399"/>
      <c r="R6399"/>
      <c r="S6399"/>
    </row>
    <row r="6400" spans="1:19" x14ac:dyDescent="0.25">
      <c r="A6400" s="1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  <c r="P6400"/>
      <c r="Q6400"/>
      <c r="R6400"/>
      <c r="S6400"/>
    </row>
    <row r="6401" spans="1:19" x14ac:dyDescent="0.25">
      <c r="A6401" s="1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  <c r="P6401"/>
      <c r="Q6401"/>
      <c r="R6401"/>
      <c r="S6401"/>
    </row>
    <row r="6402" spans="1:19" x14ac:dyDescent="0.25">
      <c r="A6402" s="1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  <c r="P6402"/>
      <c r="Q6402"/>
      <c r="R6402"/>
      <c r="S6402"/>
    </row>
    <row r="6403" spans="1:19" x14ac:dyDescent="0.25">
      <c r="A6403" s="1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  <c r="P6403"/>
      <c r="Q6403"/>
      <c r="R6403"/>
      <c r="S6403"/>
    </row>
    <row r="6404" spans="1:19" x14ac:dyDescent="0.25">
      <c r="A6404" s="1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  <c r="P6404"/>
      <c r="Q6404"/>
      <c r="R6404"/>
      <c r="S6404"/>
    </row>
    <row r="6405" spans="1:19" x14ac:dyDescent="0.25">
      <c r="A6405" s="1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  <c r="P6405"/>
      <c r="Q6405"/>
      <c r="R6405"/>
      <c r="S6405"/>
    </row>
    <row r="6406" spans="1:19" x14ac:dyDescent="0.25">
      <c r="A6406" s="1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  <c r="P6406"/>
      <c r="Q6406"/>
      <c r="R6406"/>
      <c r="S6406"/>
    </row>
    <row r="6407" spans="1:19" x14ac:dyDescent="0.25">
      <c r="A6407" s="1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  <c r="P6407"/>
      <c r="Q6407"/>
      <c r="R6407"/>
      <c r="S6407"/>
    </row>
    <row r="6408" spans="1:19" x14ac:dyDescent="0.25">
      <c r="A6408" s="1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  <c r="P6408"/>
      <c r="Q6408"/>
      <c r="R6408"/>
      <c r="S6408"/>
    </row>
    <row r="6409" spans="1:19" x14ac:dyDescent="0.25">
      <c r="A6409" s="1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  <c r="P6409"/>
      <c r="Q6409"/>
      <c r="R6409"/>
      <c r="S6409"/>
    </row>
    <row r="6410" spans="1:19" x14ac:dyDescent="0.25">
      <c r="A6410" s="1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  <c r="P6410"/>
      <c r="Q6410"/>
      <c r="R6410"/>
      <c r="S6410"/>
    </row>
    <row r="6411" spans="1:19" x14ac:dyDescent="0.25">
      <c r="A6411" s="1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  <c r="P6411"/>
      <c r="Q6411"/>
      <c r="R6411"/>
      <c r="S6411"/>
    </row>
    <row r="6412" spans="1:19" x14ac:dyDescent="0.25">
      <c r="A6412" s="1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  <c r="P6412"/>
      <c r="Q6412"/>
      <c r="R6412"/>
      <c r="S6412"/>
    </row>
    <row r="6413" spans="1:19" x14ac:dyDescent="0.25">
      <c r="A6413" s="1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  <c r="P6413"/>
      <c r="Q6413"/>
      <c r="R6413"/>
      <c r="S6413"/>
    </row>
    <row r="6414" spans="1:19" x14ac:dyDescent="0.25">
      <c r="A6414" s="1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  <c r="P6414"/>
      <c r="Q6414"/>
      <c r="R6414"/>
      <c r="S6414"/>
    </row>
    <row r="6415" spans="1:19" x14ac:dyDescent="0.25">
      <c r="A6415" s="1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  <c r="P6415"/>
      <c r="Q6415"/>
      <c r="R6415"/>
      <c r="S6415"/>
    </row>
    <row r="6416" spans="1:19" x14ac:dyDescent="0.25">
      <c r="A6416" s="1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  <c r="P6416"/>
      <c r="Q6416"/>
      <c r="R6416"/>
      <c r="S6416"/>
    </row>
    <row r="6417" spans="1:19" x14ac:dyDescent="0.25">
      <c r="A6417" s="1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  <c r="P6417"/>
      <c r="Q6417"/>
      <c r="R6417"/>
      <c r="S6417"/>
    </row>
    <row r="6418" spans="1:19" x14ac:dyDescent="0.25">
      <c r="A6418" s="1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  <c r="P6418"/>
      <c r="Q6418"/>
      <c r="R6418"/>
      <c r="S6418"/>
    </row>
    <row r="6419" spans="1:19" x14ac:dyDescent="0.25">
      <c r="A6419" s="1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  <c r="P6419"/>
      <c r="Q6419"/>
      <c r="R6419"/>
      <c r="S6419"/>
    </row>
    <row r="6420" spans="1:19" x14ac:dyDescent="0.25">
      <c r="A6420" s="1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  <c r="P6420"/>
      <c r="Q6420"/>
      <c r="R6420"/>
      <c r="S6420"/>
    </row>
    <row r="6421" spans="1:19" x14ac:dyDescent="0.25">
      <c r="A6421" s="1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  <c r="P6421"/>
      <c r="Q6421"/>
      <c r="R6421"/>
      <c r="S6421"/>
    </row>
    <row r="6422" spans="1:19" x14ac:dyDescent="0.25">
      <c r="A6422" s="1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  <c r="P6422"/>
      <c r="Q6422"/>
      <c r="R6422"/>
      <c r="S6422"/>
    </row>
    <row r="6423" spans="1:19" x14ac:dyDescent="0.25">
      <c r="A6423" s="1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  <c r="P6423"/>
      <c r="Q6423"/>
      <c r="R6423"/>
      <c r="S6423"/>
    </row>
    <row r="6424" spans="1:19" x14ac:dyDescent="0.25">
      <c r="A6424" s="1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  <c r="P6424"/>
      <c r="Q6424"/>
      <c r="R6424"/>
      <c r="S6424"/>
    </row>
    <row r="6425" spans="1:19" x14ac:dyDescent="0.25">
      <c r="A6425" s="1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  <c r="P6425"/>
      <c r="Q6425"/>
      <c r="R6425"/>
      <c r="S6425"/>
    </row>
    <row r="6426" spans="1:19" x14ac:dyDescent="0.25">
      <c r="A6426" s="1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  <c r="P6426"/>
      <c r="Q6426"/>
      <c r="R6426"/>
      <c r="S6426"/>
    </row>
    <row r="6427" spans="1:19" x14ac:dyDescent="0.25">
      <c r="A6427" s="1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  <c r="P6427"/>
      <c r="Q6427"/>
      <c r="R6427"/>
      <c r="S6427"/>
    </row>
    <row r="6428" spans="1:19" x14ac:dyDescent="0.25">
      <c r="A6428" s="1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  <c r="P6428"/>
      <c r="Q6428"/>
      <c r="R6428"/>
      <c r="S6428"/>
    </row>
    <row r="6429" spans="1:19" x14ac:dyDescent="0.25">
      <c r="A6429" s="1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  <c r="P6429"/>
      <c r="Q6429"/>
      <c r="R6429"/>
      <c r="S6429"/>
    </row>
    <row r="6430" spans="1:19" x14ac:dyDescent="0.25">
      <c r="A6430" s="1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  <c r="P6430"/>
      <c r="Q6430"/>
      <c r="R6430"/>
      <c r="S6430"/>
    </row>
    <row r="6431" spans="1:19" x14ac:dyDescent="0.25">
      <c r="A6431" s="1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  <c r="P6431"/>
      <c r="Q6431"/>
      <c r="R6431"/>
      <c r="S6431"/>
    </row>
    <row r="6432" spans="1:19" x14ac:dyDescent="0.25">
      <c r="A6432" s="1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  <c r="P6432"/>
      <c r="Q6432"/>
      <c r="R6432"/>
      <c r="S6432"/>
    </row>
    <row r="6433" spans="1:19" x14ac:dyDescent="0.25">
      <c r="A6433" s="1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  <c r="P6433"/>
      <c r="Q6433"/>
      <c r="R6433"/>
      <c r="S6433"/>
    </row>
    <row r="6434" spans="1:19" x14ac:dyDescent="0.25">
      <c r="A6434" s="1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  <c r="P6434"/>
      <c r="Q6434"/>
      <c r="R6434"/>
      <c r="S6434"/>
    </row>
    <row r="6435" spans="1:19" x14ac:dyDescent="0.25">
      <c r="A6435" s="1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  <c r="P6435"/>
      <c r="Q6435"/>
      <c r="R6435"/>
      <c r="S6435"/>
    </row>
    <row r="6436" spans="1:19" x14ac:dyDescent="0.25">
      <c r="A6436" s="1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  <c r="P6436"/>
      <c r="Q6436"/>
      <c r="R6436"/>
      <c r="S6436"/>
    </row>
    <row r="6437" spans="1:19" x14ac:dyDescent="0.25">
      <c r="A6437" s="1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  <c r="P6437"/>
      <c r="Q6437"/>
      <c r="R6437"/>
      <c r="S6437"/>
    </row>
    <row r="6438" spans="1:19" x14ac:dyDescent="0.25">
      <c r="A6438" s="1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  <c r="P6438"/>
      <c r="Q6438"/>
      <c r="R6438"/>
      <c r="S6438"/>
    </row>
    <row r="6439" spans="1:19" x14ac:dyDescent="0.25">
      <c r="A6439" s="1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  <c r="P6439"/>
      <c r="Q6439"/>
      <c r="R6439"/>
      <c r="S6439"/>
    </row>
    <row r="6440" spans="1:19" x14ac:dyDescent="0.25">
      <c r="A6440" s="1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  <c r="P6440"/>
      <c r="Q6440"/>
      <c r="R6440"/>
      <c r="S6440"/>
    </row>
    <row r="6441" spans="1:19" x14ac:dyDescent="0.25">
      <c r="A6441" s="1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  <c r="P6441"/>
      <c r="Q6441"/>
      <c r="R6441"/>
      <c r="S6441"/>
    </row>
    <row r="6442" spans="1:19" x14ac:dyDescent="0.25">
      <c r="A6442" s="1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  <c r="P6442"/>
      <c r="Q6442"/>
      <c r="R6442"/>
      <c r="S6442"/>
    </row>
    <row r="6443" spans="1:19" x14ac:dyDescent="0.25">
      <c r="A6443" s="1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  <c r="P6443"/>
      <c r="Q6443"/>
      <c r="R6443"/>
      <c r="S6443"/>
    </row>
    <row r="6444" spans="1:19" x14ac:dyDescent="0.25">
      <c r="A6444" s="1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  <c r="P6444"/>
      <c r="Q6444"/>
      <c r="R6444"/>
      <c r="S6444"/>
    </row>
    <row r="6445" spans="1:19" x14ac:dyDescent="0.25">
      <c r="A6445" s="1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  <c r="P6445"/>
      <c r="Q6445"/>
      <c r="R6445"/>
      <c r="S6445"/>
    </row>
    <row r="6446" spans="1:19" x14ac:dyDescent="0.25">
      <c r="A6446" s="1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  <c r="P6446"/>
      <c r="Q6446"/>
      <c r="R6446"/>
      <c r="S6446"/>
    </row>
    <row r="6447" spans="1:19" x14ac:dyDescent="0.25">
      <c r="A6447" s="1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  <c r="P6447"/>
      <c r="Q6447"/>
      <c r="R6447"/>
      <c r="S6447"/>
    </row>
    <row r="6448" spans="1:19" x14ac:dyDescent="0.25">
      <c r="A6448" s="1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  <c r="P6448"/>
      <c r="Q6448"/>
      <c r="R6448"/>
      <c r="S6448"/>
    </row>
    <row r="6449" spans="1:19" x14ac:dyDescent="0.25">
      <c r="A6449" s="1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  <c r="P6449"/>
      <c r="Q6449"/>
      <c r="R6449"/>
      <c r="S6449"/>
    </row>
    <row r="6450" spans="1:19" x14ac:dyDescent="0.25">
      <c r="A6450" s="1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  <c r="P6450"/>
      <c r="Q6450"/>
      <c r="R6450"/>
      <c r="S6450"/>
    </row>
    <row r="6451" spans="1:19" x14ac:dyDescent="0.25">
      <c r="A6451" s="1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  <c r="P6451"/>
      <c r="Q6451"/>
      <c r="R6451"/>
      <c r="S6451"/>
    </row>
    <row r="6452" spans="1:19" x14ac:dyDescent="0.25">
      <c r="A6452" s="1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  <c r="P6452"/>
      <c r="Q6452"/>
      <c r="R6452"/>
      <c r="S6452"/>
    </row>
    <row r="6453" spans="1:19" x14ac:dyDescent="0.25">
      <c r="A6453" s="1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  <c r="P6453"/>
      <c r="Q6453"/>
      <c r="R6453"/>
      <c r="S6453"/>
    </row>
    <row r="6454" spans="1:19" x14ac:dyDescent="0.25">
      <c r="A6454" s="1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  <c r="P6454"/>
      <c r="Q6454"/>
      <c r="R6454"/>
      <c r="S6454"/>
    </row>
    <row r="6455" spans="1:19" x14ac:dyDescent="0.25">
      <c r="A6455" s="1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  <c r="P6455"/>
      <c r="Q6455"/>
      <c r="R6455"/>
      <c r="S6455"/>
    </row>
    <row r="6456" spans="1:19" x14ac:dyDescent="0.25">
      <c r="A6456" s="1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  <c r="P6456"/>
      <c r="Q6456"/>
      <c r="R6456"/>
      <c r="S6456"/>
    </row>
    <row r="6457" spans="1:19" x14ac:dyDescent="0.25">
      <c r="A6457" s="1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  <c r="P6457"/>
      <c r="Q6457"/>
      <c r="R6457"/>
      <c r="S6457"/>
    </row>
    <row r="6458" spans="1:19" x14ac:dyDescent="0.25">
      <c r="A6458" s="1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  <c r="P6458"/>
      <c r="Q6458"/>
      <c r="R6458"/>
      <c r="S6458"/>
    </row>
    <row r="6459" spans="1:19" x14ac:dyDescent="0.25">
      <c r="A6459" s="1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  <c r="P6459"/>
      <c r="Q6459"/>
      <c r="R6459"/>
      <c r="S6459"/>
    </row>
    <row r="6460" spans="1:19" x14ac:dyDescent="0.25">
      <c r="A6460" s="1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  <c r="P6460"/>
      <c r="Q6460"/>
      <c r="R6460"/>
      <c r="S6460"/>
    </row>
    <row r="6461" spans="1:19" x14ac:dyDescent="0.25">
      <c r="A6461" s="1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  <c r="P6461"/>
      <c r="Q6461"/>
      <c r="R6461"/>
      <c r="S6461"/>
    </row>
    <row r="6462" spans="1:19" x14ac:dyDescent="0.25">
      <c r="A6462" s="1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  <c r="P6462"/>
      <c r="Q6462"/>
      <c r="R6462"/>
      <c r="S6462"/>
    </row>
    <row r="6463" spans="1:19" x14ac:dyDescent="0.25">
      <c r="A6463" s="1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  <c r="P6463"/>
      <c r="Q6463"/>
      <c r="R6463"/>
      <c r="S6463"/>
    </row>
    <row r="6464" spans="1:19" x14ac:dyDescent="0.25">
      <c r="A6464" s="1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  <c r="P6464"/>
      <c r="Q6464"/>
      <c r="R6464"/>
      <c r="S6464"/>
    </row>
    <row r="6465" spans="1:19" x14ac:dyDescent="0.25">
      <c r="A6465" s="1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  <c r="P6465"/>
      <c r="Q6465"/>
      <c r="R6465"/>
      <c r="S6465"/>
    </row>
    <row r="6466" spans="1:19" x14ac:dyDescent="0.25">
      <c r="A6466" s="1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  <c r="P6466"/>
      <c r="Q6466"/>
      <c r="R6466"/>
      <c r="S6466"/>
    </row>
    <row r="6467" spans="1:19" x14ac:dyDescent="0.25">
      <c r="A6467" s="1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  <c r="P6467"/>
      <c r="Q6467"/>
      <c r="R6467"/>
      <c r="S6467"/>
    </row>
    <row r="6468" spans="1:19" x14ac:dyDescent="0.25">
      <c r="A6468" s="1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  <c r="P6468"/>
      <c r="Q6468"/>
      <c r="R6468"/>
      <c r="S6468"/>
    </row>
    <row r="6469" spans="1:19" x14ac:dyDescent="0.25">
      <c r="A6469" s="1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  <c r="P6469"/>
      <c r="Q6469"/>
      <c r="R6469"/>
      <c r="S6469"/>
    </row>
    <row r="6470" spans="1:19" x14ac:dyDescent="0.25">
      <c r="A6470" s="1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  <c r="P6470"/>
      <c r="Q6470"/>
      <c r="R6470"/>
      <c r="S6470"/>
    </row>
    <row r="6471" spans="1:19" x14ac:dyDescent="0.25">
      <c r="A6471" s="1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  <c r="P6471"/>
      <c r="Q6471"/>
      <c r="R6471"/>
      <c r="S6471"/>
    </row>
    <row r="6472" spans="1:19" x14ac:dyDescent="0.25">
      <c r="A6472" s="1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  <c r="P6472"/>
      <c r="Q6472"/>
      <c r="R6472"/>
      <c r="S6472"/>
    </row>
    <row r="6473" spans="1:19" x14ac:dyDescent="0.25">
      <c r="A6473" s="1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  <c r="P6473"/>
      <c r="Q6473"/>
      <c r="R6473"/>
      <c r="S6473"/>
    </row>
    <row r="6474" spans="1:19" x14ac:dyDescent="0.25">
      <c r="A6474" s="1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  <c r="P6474"/>
      <c r="Q6474"/>
      <c r="R6474"/>
      <c r="S6474"/>
    </row>
    <row r="6475" spans="1:19" x14ac:dyDescent="0.25">
      <c r="A6475" s="1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  <c r="P6475"/>
      <c r="Q6475"/>
      <c r="R6475"/>
      <c r="S6475"/>
    </row>
    <row r="6476" spans="1:19" x14ac:dyDescent="0.25">
      <c r="A6476" s="1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  <c r="P6476"/>
      <c r="Q6476"/>
      <c r="R6476"/>
      <c r="S6476"/>
    </row>
    <row r="6477" spans="1:19" x14ac:dyDescent="0.25">
      <c r="A6477" s="1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  <c r="P6477"/>
      <c r="Q6477"/>
      <c r="R6477"/>
      <c r="S6477"/>
    </row>
    <row r="6478" spans="1:19" x14ac:dyDescent="0.25">
      <c r="A6478" s="1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  <c r="P6478"/>
      <c r="Q6478"/>
      <c r="R6478"/>
      <c r="S6478"/>
    </row>
    <row r="6479" spans="1:19" x14ac:dyDescent="0.25">
      <c r="A6479" s="1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  <c r="P6479"/>
      <c r="Q6479"/>
      <c r="R6479"/>
      <c r="S6479"/>
    </row>
    <row r="6480" spans="1:19" x14ac:dyDescent="0.25">
      <c r="A6480" s="1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  <c r="P6480"/>
      <c r="Q6480"/>
      <c r="R6480"/>
      <c r="S6480"/>
    </row>
    <row r="6481" spans="1:19" x14ac:dyDescent="0.25">
      <c r="A6481" s="1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  <c r="P6481"/>
      <c r="Q6481"/>
      <c r="R6481"/>
      <c r="S6481"/>
    </row>
    <row r="6482" spans="1:19" x14ac:dyDescent="0.25">
      <c r="A6482" s="1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  <c r="P6482"/>
      <c r="Q6482"/>
      <c r="R6482"/>
      <c r="S6482"/>
    </row>
    <row r="6483" spans="1:19" x14ac:dyDescent="0.25">
      <c r="A6483" s="1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  <c r="P6483"/>
      <c r="Q6483"/>
      <c r="R6483"/>
      <c r="S6483"/>
    </row>
    <row r="6484" spans="1:19" x14ac:dyDescent="0.25">
      <c r="A6484" s="1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  <c r="P6484"/>
      <c r="Q6484"/>
      <c r="R6484"/>
      <c r="S6484"/>
    </row>
    <row r="6485" spans="1:19" x14ac:dyDescent="0.25">
      <c r="A6485" s="1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  <c r="P6485"/>
      <c r="Q6485"/>
      <c r="R6485"/>
      <c r="S6485"/>
    </row>
    <row r="6486" spans="1:19" x14ac:dyDescent="0.25">
      <c r="A6486" s="1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  <c r="P6486"/>
      <c r="Q6486"/>
      <c r="R6486"/>
      <c r="S6486"/>
    </row>
    <row r="6487" spans="1:19" x14ac:dyDescent="0.25">
      <c r="A6487" s="1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  <c r="P6487"/>
      <c r="Q6487"/>
      <c r="R6487"/>
      <c r="S6487"/>
    </row>
    <row r="6488" spans="1:19" x14ac:dyDescent="0.25">
      <c r="A6488" s="1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  <c r="P6488"/>
      <c r="Q6488"/>
      <c r="R6488"/>
      <c r="S6488"/>
    </row>
    <row r="6489" spans="1:19" x14ac:dyDescent="0.25">
      <c r="A6489" s="1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  <c r="P6489"/>
      <c r="Q6489"/>
      <c r="R6489"/>
      <c r="S6489"/>
    </row>
    <row r="6490" spans="1:19" x14ac:dyDescent="0.25">
      <c r="A6490" s="1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  <c r="P6490"/>
      <c r="Q6490"/>
      <c r="R6490"/>
      <c r="S6490"/>
    </row>
    <row r="6491" spans="1:19" x14ac:dyDescent="0.25">
      <c r="A6491" s="1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  <c r="P6491"/>
      <c r="Q6491"/>
      <c r="R6491"/>
      <c r="S6491"/>
    </row>
    <row r="6492" spans="1:19" x14ac:dyDescent="0.25">
      <c r="A6492" s="1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  <c r="P6492"/>
      <c r="Q6492"/>
      <c r="R6492"/>
      <c r="S6492"/>
    </row>
    <row r="6493" spans="1:19" x14ac:dyDescent="0.25">
      <c r="A6493" s="1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  <c r="P6493"/>
      <c r="Q6493"/>
      <c r="R6493"/>
      <c r="S6493"/>
    </row>
    <row r="6494" spans="1:19" x14ac:dyDescent="0.25">
      <c r="A6494" s="1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  <c r="P6494"/>
      <c r="Q6494"/>
      <c r="R6494"/>
      <c r="S6494"/>
    </row>
    <row r="6495" spans="1:19" x14ac:dyDescent="0.25">
      <c r="A6495" s="1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  <c r="P6495"/>
      <c r="Q6495"/>
      <c r="R6495"/>
      <c r="S6495"/>
    </row>
    <row r="6496" spans="1:19" x14ac:dyDescent="0.25">
      <c r="A6496" s="1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  <c r="P6496"/>
      <c r="Q6496"/>
      <c r="R6496"/>
      <c r="S6496"/>
    </row>
    <row r="6497" spans="1:19" x14ac:dyDescent="0.25">
      <c r="A6497" s="1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  <c r="P6497"/>
      <c r="Q6497"/>
      <c r="R6497"/>
      <c r="S6497"/>
    </row>
    <row r="6498" spans="1:19" x14ac:dyDescent="0.25">
      <c r="A6498" s="1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  <c r="P6498"/>
      <c r="Q6498"/>
      <c r="R6498"/>
      <c r="S6498"/>
    </row>
    <row r="6499" spans="1:19" x14ac:dyDescent="0.25">
      <c r="A6499" s="1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  <c r="P6499"/>
      <c r="Q6499"/>
      <c r="R6499"/>
      <c r="S6499"/>
    </row>
    <row r="6500" spans="1:19" x14ac:dyDescent="0.25">
      <c r="A6500" s="1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  <c r="P6500"/>
      <c r="Q6500"/>
      <c r="R6500"/>
      <c r="S6500"/>
    </row>
    <row r="6501" spans="1:19" x14ac:dyDescent="0.25">
      <c r="A6501" s="1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  <c r="P6501"/>
      <c r="Q6501"/>
      <c r="R6501"/>
      <c r="S6501"/>
    </row>
    <row r="6502" spans="1:19" x14ac:dyDescent="0.25">
      <c r="A6502" s="1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  <c r="P6502"/>
      <c r="Q6502"/>
      <c r="R6502"/>
      <c r="S6502"/>
    </row>
    <row r="6503" spans="1:19" x14ac:dyDescent="0.25">
      <c r="A6503" s="1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  <c r="P6503"/>
      <c r="Q6503"/>
      <c r="R6503"/>
      <c r="S6503"/>
    </row>
    <row r="6504" spans="1:19" x14ac:dyDescent="0.25">
      <c r="A6504" s="1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  <c r="P6504"/>
      <c r="Q6504"/>
      <c r="R6504"/>
      <c r="S6504"/>
    </row>
    <row r="6505" spans="1:19" x14ac:dyDescent="0.25">
      <c r="A6505" s="1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  <c r="P6505"/>
      <c r="Q6505"/>
      <c r="R6505"/>
      <c r="S6505"/>
    </row>
    <row r="6506" spans="1:19" x14ac:dyDescent="0.25">
      <c r="A6506" s="1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  <c r="P6506"/>
      <c r="Q6506"/>
      <c r="R6506"/>
      <c r="S6506"/>
    </row>
    <row r="6507" spans="1:19" x14ac:dyDescent="0.25">
      <c r="A6507" s="1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  <c r="P6507"/>
      <c r="Q6507"/>
      <c r="R6507"/>
      <c r="S6507"/>
    </row>
    <row r="6508" spans="1:19" x14ac:dyDescent="0.25">
      <c r="A6508" s="1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  <c r="P6508"/>
      <c r="Q6508"/>
      <c r="R6508"/>
      <c r="S6508"/>
    </row>
    <row r="6509" spans="1:19" x14ac:dyDescent="0.25">
      <c r="A6509" s="1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  <c r="P6509"/>
      <c r="Q6509"/>
      <c r="R6509"/>
      <c r="S6509"/>
    </row>
    <row r="6510" spans="1:19" x14ac:dyDescent="0.25">
      <c r="A6510" s="1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  <c r="P6510"/>
      <c r="Q6510"/>
      <c r="R6510"/>
      <c r="S6510"/>
    </row>
    <row r="6511" spans="1:19" x14ac:dyDescent="0.25">
      <c r="A6511" s="1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  <c r="P6511"/>
      <c r="Q6511"/>
      <c r="R6511"/>
      <c r="S6511"/>
    </row>
    <row r="6512" spans="1:19" x14ac:dyDescent="0.25">
      <c r="A6512" s="1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  <c r="P6512"/>
      <c r="Q6512"/>
      <c r="R6512"/>
      <c r="S6512"/>
    </row>
    <row r="6513" spans="1:19" x14ac:dyDescent="0.25">
      <c r="A6513" s="1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  <c r="P6513"/>
      <c r="Q6513"/>
      <c r="R6513"/>
      <c r="S6513"/>
    </row>
    <row r="6514" spans="1:19" x14ac:dyDescent="0.25">
      <c r="A6514" s="1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  <c r="P6514"/>
      <c r="Q6514"/>
      <c r="R6514"/>
      <c r="S6514"/>
    </row>
    <row r="6515" spans="1:19" x14ac:dyDescent="0.25">
      <c r="A6515" s="1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  <c r="P6515"/>
      <c r="Q6515"/>
      <c r="R6515"/>
      <c r="S6515"/>
    </row>
    <row r="6516" spans="1:19" x14ac:dyDescent="0.25">
      <c r="A6516" s="1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  <c r="P6516"/>
      <c r="Q6516"/>
      <c r="R6516"/>
      <c r="S6516"/>
    </row>
    <row r="6517" spans="1:19" x14ac:dyDescent="0.25">
      <c r="A6517" s="1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  <c r="P6517"/>
      <c r="Q6517"/>
      <c r="R6517"/>
      <c r="S6517"/>
    </row>
    <row r="6518" spans="1:19" x14ac:dyDescent="0.25">
      <c r="A6518" s="1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  <c r="P6518"/>
      <c r="Q6518"/>
      <c r="R6518"/>
      <c r="S6518"/>
    </row>
    <row r="6519" spans="1:19" x14ac:dyDescent="0.25">
      <c r="A6519" s="1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  <c r="P6519"/>
      <c r="Q6519"/>
      <c r="R6519"/>
      <c r="S6519"/>
    </row>
    <row r="6520" spans="1:19" x14ac:dyDescent="0.25">
      <c r="A6520" s="1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  <c r="P6520"/>
      <c r="Q6520"/>
      <c r="R6520"/>
      <c r="S6520"/>
    </row>
    <row r="6521" spans="1:19" x14ac:dyDescent="0.25">
      <c r="A6521" s="1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  <c r="P6521"/>
      <c r="Q6521"/>
      <c r="R6521"/>
      <c r="S6521"/>
    </row>
    <row r="6522" spans="1:19" x14ac:dyDescent="0.25">
      <c r="A6522" s="1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  <c r="P6522"/>
      <c r="Q6522"/>
      <c r="R6522"/>
      <c r="S6522"/>
    </row>
    <row r="6523" spans="1:19" x14ac:dyDescent="0.25">
      <c r="A6523" s="1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  <c r="P6523"/>
      <c r="Q6523"/>
      <c r="R6523"/>
      <c r="S6523"/>
    </row>
    <row r="6524" spans="1:19" x14ac:dyDescent="0.25">
      <c r="A6524" s="1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  <c r="P6524"/>
      <c r="Q6524"/>
      <c r="R6524"/>
      <c r="S6524"/>
    </row>
    <row r="6525" spans="1:19" x14ac:dyDescent="0.25">
      <c r="A6525" s="1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  <c r="P6525"/>
      <c r="Q6525"/>
      <c r="R6525"/>
      <c r="S6525"/>
    </row>
    <row r="6526" spans="1:19" x14ac:dyDescent="0.25">
      <c r="A6526" s="1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  <c r="P6526"/>
      <c r="Q6526"/>
      <c r="R6526"/>
      <c r="S6526"/>
    </row>
    <row r="6527" spans="1:19" x14ac:dyDescent="0.25">
      <c r="A6527" s="1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  <c r="P6527"/>
      <c r="Q6527"/>
      <c r="R6527"/>
      <c r="S6527"/>
    </row>
    <row r="6528" spans="1:19" x14ac:dyDescent="0.25">
      <c r="A6528" s="1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  <c r="P6528"/>
      <c r="Q6528"/>
      <c r="R6528"/>
      <c r="S6528"/>
    </row>
    <row r="6529" spans="1:19" x14ac:dyDescent="0.25">
      <c r="A6529" s="1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  <c r="P6529"/>
      <c r="Q6529"/>
      <c r="R6529"/>
      <c r="S6529"/>
    </row>
    <row r="6530" spans="1:19" x14ac:dyDescent="0.25">
      <c r="A6530" s="1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  <c r="P6530"/>
      <c r="Q6530"/>
      <c r="R6530"/>
      <c r="S6530"/>
    </row>
    <row r="6531" spans="1:19" x14ac:dyDescent="0.25">
      <c r="A6531" s="1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  <c r="P6531"/>
      <c r="Q6531"/>
      <c r="R6531"/>
      <c r="S6531"/>
    </row>
    <row r="6532" spans="1:19" x14ac:dyDescent="0.25">
      <c r="A6532" s="1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  <c r="P6532"/>
      <c r="Q6532"/>
      <c r="R6532"/>
      <c r="S6532"/>
    </row>
    <row r="6533" spans="1:19" x14ac:dyDescent="0.25">
      <c r="A6533" s="1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  <c r="P6533"/>
      <c r="Q6533"/>
      <c r="R6533"/>
      <c r="S6533"/>
    </row>
    <row r="6534" spans="1:19" x14ac:dyDescent="0.25">
      <c r="A6534" s="1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  <c r="P6534"/>
      <c r="Q6534"/>
      <c r="R6534"/>
      <c r="S6534"/>
    </row>
    <row r="6535" spans="1:19" x14ac:dyDescent="0.25">
      <c r="A6535" s="1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  <c r="P6535"/>
      <c r="Q6535"/>
      <c r="R6535"/>
      <c r="S6535"/>
    </row>
    <row r="6536" spans="1:19" x14ac:dyDescent="0.25">
      <c r="A6536" s="1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  <c r="P6536"/>
      <c r="Q6536"/>
      <c r="R6536"/>
      <c r="S6536"/>
    </row>
    <row r="6537" spans="1:19" x14ac:dyDescent="0.25">
      <c r="A6537" s="1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  <c r="P6537"/>
      <c r="Q6537"/>
      <c r="R6537"/>
      <c r="S6537"/>
    </row>
    <row r="6538" spans="1:19" x14ac:dyDescent="0.25">
      <c r="A6538" s="1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  <c r="P6538"/>
      <c r="Q6538"/>
      <c r="R6538"/>
      <c r="S6538"/>
    </row>
    <row r="6539" spans="1:19" x14ac:dyDescent="0.25">
      <c r="A6539" s="1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  <c r="P6539"/>
      <c r="Q6539"/>
      <c r="R6539"/>
      <c r="S6539"/>
    </row>
    <row r="6540" spans="1:19" x14ac:dyDescent="0.25">
      <c r="A6540" s="1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  <c r="P6540"/>
      <c r="Q6540"/>
      <c r="R6540"/>
      <c r="S6540"/>
    </row>
    <row r="6541" spans="1:19" x14ac:dyDescent="0.25">
      <c r="A6541" s="1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  <c r="P6541"/>
      <c r="Q6541"/>
      <c r="R6541"/>
      <c r="S6541"/>
    </row>
    <row r="6542" spans="1:19" x14ac:dyDescent="0.25">
      <c r="A6542" s="1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  <c r="P6542"/>
      <c r="Q6542"/>
      <c r="R6542"/>
      <c r="S6542"/>
    </row>
    <row r="6543" spans="1:19" x14ac:dyDescent="0.25">
      <c r="A6543" s="1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  <c r="P6543"/>
      <c r="Q6543"/>
      <c r="R6543"/>
      <c r="S6543"/>
    </row>
    <row r="6544" spans="1:19" x14ac:dyDescent="0.25">
      <c r="A6544" s="1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  <c r="P6544"/>
      <c r="Q6544"/>
      <c r="R6544"/>
      <c r="S6544"/>
    </row>
    <row r="6545" spans="1:19" x14ac:dyDescent="0.25">
      <c r="A6545" s="1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  <c r="P6545"/>
      <c r="Q6545"/>
      <c r="R6545"/>
      <c r="S6545"/>
    </row>
    <row r="6546" spans="1:19" x14ac:dyDescent="0.25">
      <c r="A6546" s="1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  <c r="P6546"/>
      <c r="Q6546"/>
      <c r="R6546"/>
      <c r="S6546"/>
    </row>
    <row r="6547" spans="1:19" x14ac:dyDescent="0.25">
      <c r="A6547" s="1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  <c r="P6547"/>
      <c r="Q6547"/>
      <c r="R6547"/>
      <c r="S6547"/>
    </row>
    <row r="6548" spans="1:19" x14ac:dyDescent="0.25">
      <c r="A6548" s="1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  <c r="P6548"/>
      <c r="Q6548"/>
      <c r="R6548"/>
      <c r="S6548"/>
    </row>
    <row r="6549" spans="1:19" x14ac:dyDescent="0.25">
      <c r="A6549" s="1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  <c r="P6549"/>
      <c r="Q6549"/>
      <c r="R6549"/>
      <c r="S6549"/>
    </row>
    <row r="6550" spans="1:19" x14ac:dyDescent="0.25">
      <c r="A6550" s="1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  <c r="P6550"/>
      <c r="Q6550"/>
      <c r="R6550"/>
      <c r="S6550"/>
    </row>
    <row r="6551" spans="1:19" x14ac:dyDescent="0.25">
      <c r="A6551" s="1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  <c r="P6551"/>
      <c r="Q6551"/>
      <c r="R6551"/>
      <c r="S6551"/>
    </row>
    <row r="6552" spans="1:19" x14ac:dyDescent="0.25">
      <c r="A6552" s="1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  <c r="P6552"/>
      <c r="Q6552"/>
      <c r="R6552"/>
      <c r="S6552"/>
    </row>
    <row r="6553" spans="1:19" x14ac:dyDescent="0.25">
      <c r="A6553" s="1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  <c r="P6553"/>
      <c r="Q6553"/>
      <c r="R6553"/>
      <c r="S6553"/>
    </row>
    <row r="6554" spans="1:19" x14ac:dyDescent="0.25">
      <c r="A6554" s="1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  <c r="P6554"/>
      <c r="Q6554"/>
      <c r="R6554"/>
      <c r="S6554"/>
    </row>
    <row r="6555" spans="1:19" x14ac:dyDescent="0.25">
      <c r="A6555" s="1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  <c r="P6555"/>
      <c r="Q6555"/>
      <c r="R6555"/>
      <c r="S6555"/>
    </row>
    <row r="6556" spans="1:19" x14ac:dyDescent="0.25">
      <c r="A6556" s="1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  <c r="P6556"/>
      <c r="Q6556"/>
      <c r="R6556"/>
      <c r="S6556"/>
    </row>
    <row r="6557" spans="1:19" x14ac:dyDescent="0.25">
      <c r="A6557" s="1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  <c r="P6557"/>
      <c r="Q6557"/>
      <c r="R6557"/>
      <c r="S6557"/>
    </row>
    <row r="6558" spans="1:19" x14ac:dyDescent="0.25">
      <c r="A6558" s="1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  <c r="P6558"/>
      <c r="Q6558"/>
      <c r="R6558"/>
      <c r="S6558"/>
    </row>
    <row r="6559" spans="1:19" x14ac:dyDescent="0.25">
      <c r="A6559" s="1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  <c r="P6559"/>
      <c r="Q6559"/>
      <c r="R6559"/>
      <c r="S6559"/>
    </row>
    <row r="6560" spans="1:19" x14ac:dyDescent="0.25">
      <c r="A6560" s="1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  <c r="P6560"/>
      <c r="Q6560"/>
      <c r="R6560"/>
      <c r="S6560"/>
    </row>
    <row r="6561" spans="1:19" x14ac:dyDescent="0.25">
      <c r="A6561" s="1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  <c r="P6561"/>
      <c r="Q6561"/>
      <c r="R6561"/>
      <c r="S6561"/>
    </row>
    <row r="6562" spans="1:19" x14ac:dyDescent="0.25">
      <c r="A6562" s="1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  <c r="P6562"/>
      <c r="Q6562"/>
      <c r="R6562"/>
      <c r="S6562"/>
    </row>
    <row r="6563" spans="1:19" x14ac:dyDescent="0.25">
      <c r="A6563" s="1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  <c r="P6563"/>
      <c r="Q6563"/>
      <c r="R6563"/>
      <c r="S6563"/>
    </row>
    <row r="6564" spans="1:19" x14ac:dyDescent="0.25">
      <c r="A6564" s="1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  <c r="P6564"/>
      <c r="Q6564"/>
      <c r="R6564"/>
      <c r="S6564"/>
    </row>
    <row r="6565" spans="1:19" x14ac:dyDescent="0.25">
      <c r="A6565" s="1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  <c r="P6565"/>
      <c r="Q6565"/>
      <c r="R6565"/>
      <c r="S6565"/>
    </row>
    <row r="6566" spans="1:19" x14ac:dyDescent="0.25">
      <c r="A6566" s="1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  <c r="P6566"/>
      <c r="Q6566"/>
      <c r="R6566"/>
      <c r="S6566"/>
    </row>
    <row r="6567" spans="1:19" x14ac:dyDescent="0.25">
      <c r="A6567" s="1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  <c r="P6567"/>
      <c r="Q6567"/>
      <c r="R6567"/>
      <c r="S6567"/>
    </row>
    <row r="6568" spans="1:19" x14ac:dyDescent="0.25">
      <c r="A6568" s="1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  <c r="P6568"/>
      <c r="Q6568"/>
      <c r="R6568"/>
      <c r="S6568"/>
    </row>
    <row r="6569" spans="1:19" x14ac:dyDescent="0.25">
      <c r="A6569" s="1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  <c r="P6569"/>
      <c r="Q6569"/>
      <c r="R6569"/>
      <c r="S6569"/>
    </row>
    <row r="6570" spans="1:19" x14ac:dyDescent="0.25">
      <c r="A6570" s="1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  <c r="P6570"/>
      <c r="Q6570"/>
      <c r="R6570"/>
      <c r="S6570"/>
    </row>
    <row r="6571" spans="1:19" x14ac:dyDescent="0.25">
      <c r="A6571" s="1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  <c r="P6571"/>
      <c r="Q6571"/>
      <c r="R6571"/>
      <c r="S6571"/>
    </row>
    <row r="6572" spans="1:19" x14ac:dyDescent="0.25">
      <c r="A6572" s="1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  <c r="P6572"/>
      <c r="Q6572"/>
      <c r="R6572"/>
      <c r="S6572"/>
    </row>
    <row r="6573" spans="1:19" x14ac:dyDescent="0.25">
      <c r="A6573" s="1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  <c r="P6573"/>
      <c r="Q6573"/>
      <c r="R6573"/>
      <c r="S6573"/>
    </row>
    <row r="6574" spans="1:19" x14ac:dyDescent="0.25">
      <c r="A6574" s="1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  <c r="P6574"/>
      <c r="Q6574"/>
      <c r="R6574"/>
      <c r="S6574"/>
    </row>
    <row r="6575" spans="1:19" x14ac:dyDescent="0.25">
      <c r="A6575" s="1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  <c r="P6575"/>
      <c r="Q6575"/>
      <c r="R6575"/>
      <c r="S6575"/>
    </row>
    <row r="6576" spans="1:19" x14ac:dyDescent="0.25">
      <c r="A6576" s="1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  <c r="P6576"/>
      <c r="Q6576"/>
      <c r="R6576"/>
      <c r="S6576"/>
    </row>
    <row r="6577" spans="1:19" x14ac:dyDescent="0.25">
      <c r="A6577" s="1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  <c r="P6577"/>
      <c r="Q6577"/>
      <c r="R6577"/>
      <c r="S6577"/>
    </row>
    <row r="6578" spans="1:19" x14ac:dyDescent="0.25">
      <c r="A6578" s="1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  <c r="P6578"/>
      <c r="Q6578"/>
      <c r="R6578"/>
      <c r="S6578"/>
    </row>
    <row r="6579" spans="1:19" x14ac:dyDescent="0.25">
      <c r="A6579" s="1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  <c r="P6579"/>
      <c r="Q6579"/>
      <c r="R6579"/>
      <c r="S6579"/>
    </row>
    <row r="6580" spans="1:19" x14ac:dyDescent="0.25">
      <c r="A6580" s="1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  <c r="P6580"/>
      <c r="Q6580"/>
      <c r="R6580"/>
      <c r="S6580"/>
    </row>
    <row r="6581" spans="1:19" x14ac:dyDescent="0.25">
      <c r="A6581" s="1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  <c r="P6581"/>
      <c r="Q6581"/>
      <c r="R6581"/>
      <c r="S6581"/>
    </row>
    <row r="6582" spans="1:19" x14ac:dyDescent="0.25">
      <c r="A6582" s="1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  <c r="P6582"/>
      <c r="Q6582"/>
      <c r="R6582"/>
      <c r="S6582"/>
    </row>
    <row r="6583" spans="1:19" x14ac:dyDescent="0.25">
      <c r="A6583" s="1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  <c r="P6583"/>
      <c r="Q6583"/>
      <c r="R6583"/>
      <c r="S6583"/>
    </row>
    <row r="6584" spans="1:19" x14ac:dyDescent="0.25">
      <c r="A6584" s="1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  <c r="P6584"/>
      <c r="Q6584"/>
      <c r="R6584"/>
      <c r="S6584"/>
    </row>
    <row r="6585" spans="1:19" x14ac:dyDescent="0.25">
      <c r="A6585" s="1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  <c r="P6585"/>
      <c r="Q6585"/>
      <c r="R6585"/>
      <c r="S6585"/>
    </row>
    <row r="6586" spans="1:19" x14ac:dyDescent="0.25">
      <c r="A6586" s="1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  <c r="P6586"/>
      <c r="Q6586"/>
      <c r="R6586"/>
      <c r="S6586"/>
    </row>
    <row r="6587" spans="1:19" x14ac:dyDescent="0.25">
      <c r="A6587" s="1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  <c r="P6587"/>
      <c r="Q6587"/>
      <c r="R6587"/>
      <c r="S6587"/>
    </row>
    <row r="6588" spans="1:19" x14ac:dyDescent="0.25">
      <c r="A6588" s="1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  <c r="P6588"/>
      <c r="Q6588"/>
      <c r="R6588"/>
      <c r="S6588"/>
    </row>
    <row r="6589" spans="1:19" x14ac:dyDescent="0.25">
      <c r="A6589" s="1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  <c r="P6589"/>
      <c r="Q6589"/>
      <c r="R6589"/>
      <c r="S6589"/>
    </row>
    <row r="6590" spans="1:19" x14ac:dyDescent="0.25">
      <c r="A6590" s="1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  <c r="P6590"/>
      <c r="Q6590"/>
      <c r="R6590"/>
      <c r="S6590"/>
    </row>
    <row r="6591" spans="1:19" x14ac:dyDescent="0.25">
      <c r="A6591" s="1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  <c r="P6591"/>
      <c r="Q6591"/>
      <c r="R6591"/>
      <c r="S6591"/>
    </row>
    <row r="6592" spans="1:19" x14ac:dyDescent="0.25">
      <c r="A6592" s="1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  <c r="P6592"/>
      <c r="Q6592"/>
      <c r="R6592"/>
      <c r="S6592"/>
    </row>
    <row r="6593" spans="1:19" x14ac:dyDescent="0.25">
      <c r="A6593" s="1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  <c r="P6593"/>
      <c r="Q6593"/>
      <c r="R6593"/>
      <c r="S6593"/>
    </row>
    <row r="6594" spans="1:19" x14ac:dyDescent="0.25">
      <c r="A6594" s="1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  <c r="P6594"/>
      <c r="Q6594"/>
      <c r="R6594"/>
      <c r="S6594"/>
    </row>
    <row r="6595" spans="1:19" x14ac:dyDescent="0.25">
      <c r="A6595" s="1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  <c r="P6595"/>
      <c r="Q6595"/>
      <c r="R6595"/>
      <c r="S6595"/>
    </row>
    <row r="6596" spans="1:19" x14ac:dyDescent="0.25">
      <c r="A6596" s="1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  <c r="P6596"/>
      <c r="Q6596"/>
      <c r="R6596"/>
      <c r="S6596"/>
    </row>
    <row r="6597" spans="1:19" x14ac:dyDescent="0.25">
      <c r="A6597" s="1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  <c r="P6597"/>
      <c r="Q6597"/>
      <c r="R6597"/>
      <c r="S6597"/>
    </row>
    <row r="6598" spans="1:19" x14ac:dyDescent="0.25">
      <c r="A6598" s="1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  <c r="P6598"/>
      <c r="Q6598"/>
      <c r="R6598"/>
      <c r="S6598"/>
    </row>
    <row r="6599" spans="1:19" x14ac:dyDescent="0.25">
      <c r="A6599" s="1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  <c r="P6599"/>
      <c r="Q6599"/>
      <c r="R6599"/>
      <c r="S6599"/>
    </row>
    <row r="6600" spans="1:19" x14ac:dyDescent="0.25">
      <c r="A6600" s="1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  <c r="P6600"/>
      <c r="Q6600"/>
      <c r="R6600"/>
      <c r="S6600"/>
    </row>
    <row r="6601" spans="1:19" x14ac:dyDescent="0.25">
      <c r="A6601" s="1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  <c r="P6601"/>
      <c r="Q6601"/>
      <c r="R6601"/>
      <c r="S6601"/>
    </row>
    <row r="6602" spans="1:19" x14ac:dyDescent="0.25">
      <c r="A6602" s="1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  <c r="P6602"/>
      <c r="Q6602"/>
      <c r="R6602"/>
      <c r="S6602"/>
    </row>
    <row r="6603" spans="1:19" x14ac:dyDescent="0.25">
      <c r="A6603" s="1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  <c r="P6603"/>
      <c r="Q6603"/>
      <c r="R6603"/>
      <c r="S6603"/>
    </row>
    <row r="6604" spans="1:19" x14ac:dyDescent="0.25">
      <c r="A6604" s="1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  <c r="P6604"/>
      <c r="Q6604"/>
      <c r="R6604"/>
      <c r="S6604"/>
    </row>
    <row r="6605" spans="1:19" x14ac:dyDescent="0.25">
      <c r="A6605" s="1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  <c r="P6605"/>
      <c r="Q6605"/>
      <c r="R6605"/>
      <c r="S6605"/>
    </row>
    <row r="6606" spans="1:19" x14ac:dyDescent="0.25">
      <c r="A6606" s="1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  <c r="P6606"/>
      <c r="Q6606"/>
      <c r="R6606"/>
      <c r="S6606"/>
    </row>
    <row r="6607" spans="1:19" x14ac:dyDescent="0.25">
      <c r="A6607" s="1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  <c r="P6607"/>
      <c r="Q6607"/>
      <c r="R6607"/>
      <c r="S6607"/>
    </row>
    <row r="6608" spans="1:19" x14ac:dyDescent="0.25">
      <c r="A6608" s="1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  <c r="P6608"/>
      <c r="Q6608"/>
      <c r="R6608"/>
      <c r="S6608"/>
    </row>
    <row r="6609" spans="1:19" x14ac:dyDescent="0.25">
      <c r="A6609" s="1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  <c r="P6609"/>
      <c r="Q6609"/>
      <c r="R6609"/>
      <c r="S6609"/>
    </row>
    <row r="6610" spans="1:19" x14ac:dyDescent="0.25">
      <c r="A6610" s="1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  <c r="P6610"/>
      <c r="Q6610"/>
      <c r="R6610"/>
      <c r="S6610"/>
    </row>
    <row r="6611" spans="1:19" x14ac:dyDescent="0.25">
      <c r="A6611" s="1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  <c r="P6611"/>
      <c r="Q6611"/>
      <c r="R6611"/>
      <c r="S6611"/>
    </row>
    <row r="6612" spans="1:19" x14ac:dyDescent="0.25">
      <c r="A6612" s="1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  <c r="P6612"/>
      <c r="Q6612"/>
      <c r="R6612"/>
      <c r="S6612"/>
    </row>
    <row r="6613" spans="1:19" x14ac:dyDescent="0.25">
      <c r="A6613" s="1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  <c r="P6613"/>
      <c r="Q6613"/>
      <c r="R6613"/>
      <c r="S6613"/>
    </row>
    <row r="6614" spans="1:19" x14ac:dyDescent="0.25">
      <c r="A6614" s="1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  <c r="P6614"/>
      <c r="Q6614"/>
      <c r="R6614"/>
      <c r="S6614"/>
    </row>
    <row r="6615" spans="1:19" x14ac:dyDescent="0.25">
      <c r="A6615" s="1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  <c r="P6615"/>
      <c r="Q6615"/>
      <c r="R6615"/>
      <c r="S6615"/>
    </row>
    <row r="6616" spans="1:19" x14ac:dyDescent="0.25">
      <c r="A6616" s="1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  <c r="P6616"/>
      <c r="Q6616"/>
      <c r="R6616"/>
      <c r="S6616"/>
    </row>
    <row r="6617" spans="1:19" x14ac:dyDescent="0.25">
      <c r="A6617" s="1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  <c r="P6617"/>
      <c r="Q6617"/>
      <c r="R6617"/>
      <c r="S6617"/>
    </row>
    <row r="6618" spans="1:19" x14ac:dyDescent="0.25">
      <c r="A6618" s="1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  <c r="P6618"/>
      <c r="Q6618"/>
      <c r="R6618"/>
      <c r="S6618"/>
    </row>
    <row r="6619" spans="1:19" x14ac:dyDescent="0.25">
      <c r="A6619" s="1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  <c r="P6619"/>
      <c r="Q6619"/>
      <c r="R6619"/>
      <c r="S6619"/>
    </row>
    <row r="6620" spans="1:19" x14ac:dyDescent="0.25">
      <c r="A6620" s="1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  <c r="P6620"/>
      <c r="Q6620"/>
      <c r="R6620"/>
      <c r="S6620"/>
    </row>
    <row r="6621" spans="1:19" x14ac:dyDescent="0.25">
      <c r="A6621" s="1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  <c r="P6621"/>
      <c r="Q6621"/>
      <c r="R6621"/>
      <c r="S6621"/>
    </row>
    <row r="6622" spans="1:19" x14ac:dyDescent="0.25">
      <c r="A6622" s="1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  <c r="P6622"/>
      <c r="Q6622"/>
      <c r="R6622"/>
      <c r="S6622"/>
    </row>
    <row r="6623" spans="1:19" x14ac:dyDescent="0.25">
      <c r="A6623" s="1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  <c r="P6623"/>
      <c r="Q6623"/>
      <c r="R6623"/>
      <c r="S6623"/>
    </row>
    <row r="6624" spans="1:19" x14ac:dyDescent="0.25">
      <c r="A6624" s="1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  <c r="P6624"/>
      <c r="Q6624"/>
      <c r="R6624"/>
      <c r="S6624"/>
    </row>
    <row r="6625" spans="1:19" x14ac:dyDescent="0.25">
      <c r="A6625" s="1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  <c r="P6625"/>
      <c r="Q6625"/>
      <c r="R6625"/>
      <c r="S6625"/>
    </row>
    <row r="6626" spans="1:19" x14ac:dyDescent="0.25">
      <c r="A6626" s="1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  <c r="P6626"/>
      <c r="Q6626"/>
      <c r="R6626"/>
      <c r="S6626"/>
    </row>
    <row r="6627" spans="1:19" x14ac:dyDescent="0.25">
      <c r="A6627" s="1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  <c r="P6627"/>
      <c r="Q6627"/>
      <c r="R6627"/>
      <c r="S6627"/>
    </row>
    <row r="6628" spans="1:19" x14ac:dyDescent="0.25">
      <c r="A6628" s="1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  <c r="P6628"/>
      <c r="Q6628"/>
      <c r="R6628"/>
      <c r="S6628"/>
    </row>
    <row r="6629" spans="1:19" x14ac:dyDescent="0.25">
      <c r="A6629" s="1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  <c r="P6629"/>
      <c r="Q6629"/>
      <c r="R6629"/>
      <c r="S6629"/>
    </row>
    <row r="6630" spans="1:19" x14ac:dyDescent="0.25">
      <c r="A6630" s="1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  <c r="P6630"/>
      <c r="Q6630"/>
      <c r="R6630"/>
      <c r="S6630"/>
    </row>
    <row r="6631" spans="1:19" x14ac:dyDescent="0.25">
      <c r="A6631" s="1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  <c r="P6631"/>
      <c r="Q6631"/>
      <c r="R6631"/>
      <c r="S6631"/>
    </row>
    <row r="6632" spans="1:19" x14ac:dyDescent="0.25">
      <c r="A6632" s="1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  <c r="P6632"/>
      <c r="Q6632"/>
      <c r="R6632"/>
      <c r="S6632"/>
    </row>
    <row r="6633" spans="1:19" x14ac:dyDescent="0.25">
      <c r="A6633" s="1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  <c r="P6633"/>
      <c r="Q6633"/>
      <c r="R6633"/>
      <c r="S6633"/>
    </row>
    <row r="6634" spans="1:19" x14ac:dyDescent="0.25">
      <c r="A6634" s="1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  <c r="P6634"/>
      <c r="Q6634"/>
      <c r="R6634"/>
      <c r="S6634"/>
    </row>
    <row r="6635" spans="1:19" x14ac:dyDescent="0.25">
      <c r="A6635" s="1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  <c r="P6635"/>
      <c r="Q6635"/>
      <c r="R6635"/>
      <c r="S6635"/>
    </row>
    <row r="6636" spans="1:19" x14ac:dyDescent="0.25">
      <c r="A6636" s="1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  <c r="P6636"/>
      <c r="Q6636"/>
      <c r="R6636"/>
      <c r="S6636"/>
    </row>
    <row r="6637" spans="1:19" x14ac:dyDescent="0.25">
      <c r="A6637" s="1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  <c r="P6637"/>
      <c r="Q6637"/>
      <c r="R6637"/>
      <c r="S6637"/>
    </row>
    <row r="6638" spans="1:19" x14ac:dyDescent="0.25">
      <c r="A6638" s="1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  <c r="P6638"/>
      <c r="Q6638"/>
      <c r="R6638"/>
      <c r="S6638"/>
    </row>
    <row r="6639" spans="1:19" x14ac:dyDescent="0.25">
      <c r="A6639" s="1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  <c r="P6639"/>
      <c r="Q6639"/>
      <c r="R6639"/>
      <c r="S6639"/>
    </row>
    <row r="6640" spans="1:19" x14ac:dyDescent="0.25">
      <c r="A6640" s="1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  <c r="P6640"/>
      <c r="Q6640"/>
      <c r="R6640"/>
      <c r="S6640"/>
    </row>
    <row r="6641" spans="1:19" x14ac:dyDescent="0.25">
      <c r="A6641" s="1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  <c r="P6641"/>
      <c r="Q6641"/>
      <c r="R6641"/>
      <c r="S6641"/>
    </row>
    <row r="6642" spans="1:19" x14ac:dyDescent="0.25">
      <c r="A6642" s="1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  <c r="P6642"/>
      <c r="Q6642"/>
      <c r="R6642"/>
      <c r="S6642"/>
    </row>
    <row r="6643" spans="1:19" x14ac:dyDescent="0.25">
      <c r="A6643" s="1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  <c r="P6643"/>
      <c r="Q6643"/>
      <c r="R6643"/>
      <c r="S6643"/>
    </row>
    <row r="6644" spans="1:19" x14ac:dyDescent="0.25">
      <c r="A6644" s="1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  <c r="P6644"/>
      <c r="Q6644"/>
      <c r="R6644"/>
      <c r="S6644"/>
    </row>
    <row r="6645" spans="1:19" x14ac:dyDescent="0.25">
      <c r="A6645" s="1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  <c r="P6645"/>
      <c r="Q6645"/>
      <c r="R6645"/>
      <c r="S6645"/>
    </row>
    <row r="6646" spans="1:19" x14ac:dyDescent="0.25">
      <c r="A6646" s="1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  <c r="P6646"/>
      <c r="Q6646"/>
      <c r="R6646"/>
      <c r="S6646"/>
    </row>
    <row r="6647" spans="1:19" x14ac:dyDescent="0.25">
      <c r="A6647" s="1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  <c r="P6647"/>
      <c r="Q6647"/>
      <c r="R6647"/>
      <c r="S6647"/>
    </row>
    <row r="6648" spans="1:19" x14ac:dyDescent="0.25">
      <c r="A6648" s="1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  <c r="P6648"/>
      <c r="Q6648"/>
      <c r="R6648"/>
      <c r="S6648"/>
    </row>
    <row r="6649" spans="1:19" x14ac:dyDescent="0.25">
      <c r="A6649" s="1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  <c r="P6649"/>
      <c r="Q6649"/>
      <c r="R6649"/>
      <c r="S6649"/>
    </row>
    <row r="6650" spans="1:19" x14ac:dyDescent="0.25">
      <c r="A6650" s="1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  <c r="P6650"/>
      <c r="Q6650"/>
      <c r="R6650"/>
      <c r="S6650"/>
    </row>
    <row r="6651" spans="1:19" x14ac:dyDescent="0.25">
      <c r="A6651" s="1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  <c r="P6651"/>
      <c r="Q6651"/>
      <c r="R6651"/>
      <c r="S6651"/>
    </row>
    <row r="6652" spans="1:19" x14ac:dyDescent="0.25">
      <c r="A6652" s="1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  <c r="P6652"/>
      <c r="Q6652"/>
      <c r="R6652"/>
      <c r="S6652"/>
    </row>
    <row r="6653" spans="1:19" x14ac:dyDescent="0.25">
      <c r="A6653" s="1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  <c r="P6653"/>
      <c r="Q6653"/>
      <c r="R6653"/>
      <c r="S6653"/>
    </row>
    <row r="6654" spans="1:19" x14ac:dyDescent="0.25">
      <c r="A6654" s="1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  <c r="P6654"/>
      <c r="Q6654"/>
      <c r="R6654"/>
      <c r="S6654"/>
    </row>
    <row r="6655" spans="1:19" x14ac:dyDescent="0.25">
      <c r="A6655" s="1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  <c r="P6655"/>
      <c r="Q6655"/>
      <c r="R6655"/>
      <c r="S6655"/>
    </row>
    <row r="6656" spans="1:19" x14ac:dyDescent="0.25">
      <c r="A6656" s="1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  <c r="P6656"/>
      <c r="Q6656"/>
      <c r="R6656"/>
      <c r="S6656"/>
    </row>
    <row r="6657" spans="1:19" x14ac:dyDescent="0.25">
      <c r="A6657" s="1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  <c r="P6657"/>
      <c r="Q6657"/>
      <c r="R6657"/>
      <c r="S6657"/>
    </row>
    <row r="6658" spans="1:19" x14ac:dyDescent="0.25">
      <c r="A6658" s="1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  <c r="P6658"/>
      <c r="Q6658"/>
      <c r="R6658"/>
      <c r="S6658"/>
    </row>
    <row r="6659" spans="1:19" x14ac:dyDescent="0.25">
      <c r="A6659" s="1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  <c r="P6659"/>
      <c r="Q6659"/>
      <c r="R6659"/>
      <c r="S6659"/>
    </row>
    <row r="6660" spans="1:19" x14ac:dyDescent="0.25">
      <c r="A6660" s="1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  <c r="P6660"/>
      <c r="Q6660"/>
      <c r="R6660"/>
      <c r="S6660"/>
    </row>
    <row r="6661" spans="1:19" x14ac:dyDescent="0.25">
      <c r="A6661" s="1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  <c r="P6661"/>
      <c r="Q6661"/>
      <c r="R6661"/>
      <c r="S6661"/>
    </row>
    <row r="6662" spans="1:19" x14ac:dyDescent="0.25">
      <c r="A6662" s="1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  <c r="P6662"/>
      <c r="Q6662"/>
      <c r="R6662"/>
      <c r="S6662"/>
    </row>
    <row r="6663" spans="1:19" x14ac:dyDescent="0.25">
      <c r="A6663" s="1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  <c r="P6663"/>
      <c r="Q6663"/>
      <c r="R6663"/>
      <c r="S6663"/>
    </row>
    <row r="6664" spans="1:19" x14ac:dyDescent="0.25">
      <c r="A6664" s="1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  <c r="P6664"/>
      <c r="Q6664"/>
      <c r="R6664"/>
      <c r="S6664"/>
    </row>
    <row r="6665" spans="1:19" x14ac:dyDescent="0.25">
      <c r="A6665" s="1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  <c r="P6665"/>
      <c r="Q6665"/>
      <c r="R6665"/>
      <c r="S6665"/>
    </row>
    <row r="6666" spans="1:19" x14ac:dyDescent="0.25">
      <c r="A6666" s="1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  <c r="P6666"/>
      <c r="Q6666"/>
      <c r="R6666"/>
      <c r="S6666"/>
    </row>
    <row r="6667" spans="1:19" x14ac:dyDescent="0.25">
      <c r="A6667" s="1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  <c r="P6667"/>
      <c r="Q6667"/>
      <c r="R6667"/>
      <c r="S6667"/>
    </row>
    <row r="6668" spans="1:19" x14ac:dyDescent="0.25">
      <c r="A6668" s="1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  <c r="P6668"/>
      <c r="Q6668"/>
      <c r="R6668"/>
      <c r="S6668"/>
    </row>
    <row r="6669" spans="1:19" x14ac:dyDescent="0.25">
      <c r="A6669" s="1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  <c r="P6669"/>
      <c r="Q6669"/>
      <c r="R6669"/>
      <c r="S6669"/>
    </row>
    <row r="6670" spans="1:19" x14ac:dyDescent="0.25">
      <c r="A6670" s="1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  <c r="P6670"/>
      <c r="Q6670"/>
      <c r="R6670"/>
      <c r="S6670"/>
    </row>
    <row r="6671" spans="1:19" x14ac:dyDescent="0.25">
      <c r="A6671" s="1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  <c r="P6671"/>
      <c r="Q6671"/>
      <c r="R6671"/>
      <c r="S6671"/>
    </row>
    <row r="6672" spans="1:19" x14ac:dyDescent="0.25">
      <c r="A6672" s="1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  <c r="P6672"/>
      <c r="Q6672"/>
      <c r="R6672"/>
      <c r="S6672"/>
    </row>
    <row r="6673" spans="1:19" x14ac:dyDescent="0.25">
      <c r="A6673" s="1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  <c r="P6673"/>
      <c r="Q6673"/>
      <c r="R6673"/>
      <c r="S6673"/>
    </row>
    <row r="6674" spans="1:19" x14ac:dyDescent="0.25">
      <c r="A6674" s="1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  <c r="P6674"/>
      <c r="Q6674"/>
      <c r="R6674"/>
      <c r="S6674"/>
    </row>
    <row r="6675" spans="1:19" x14ac:dyDescent="0.25">
      <c r="A6675" s="1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  <c r="P6675"/>
      <c r="Q6675"/>
      <c r="R6675"/>
      <c r="S6675"/>
    </row>
    <row r="6676" spans="1:19" x14ac:dyDescent="0.25">
      <c r="A6676" s="1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  <c r="P6676"/>
      <c r="Q6676"/>
      <c r="R6676"/>
      <c r="S6676"/>
    </row>
    <row r="6677" spans="1:19" x14ac:dyDescent="0.25">
      <c r="A6677" s="1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  <c r="P6677"/>
      <c r="Q6677"/>
      <c r="R6677"/>
      <c r="S6677"/>
    </row>
    <row r="6678" spans="1:19" x14ac:dyDescent="0.25">
      <c r="A6678" s="1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  <c r="P6678"/>
      <c r="Q6678"/>
      <c r="R6678"/>
      <c r="S6678"/>
    </row>
    <row r="6679" spans="1:19" x14ac:dyDescent="0.25">
      <c r="A6679" s="1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  <c r="P6679"/>
      <c r="Q6679"/>
      <c r="R6679"/>
      <c r="S6679"/>
    </row>
    <row r="6680" spans="1:19" x14ac:dyDescent="0.25">
      <c r="A6680" s="1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  <c r="P6680"/>
      <c r="Q6680"/>
      <c r="R6680"/>
      <c r="S6680"/>
    </row>
    <row r="6681" spans="1:19" x14ac:dyDescent="0.25">
      <c r="A6681" s="1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  <c r="P6681"/>
      <c r="Q6681"/>
      <c r="R6681"/>
      <c r="S6681"/>
    </row>
    <row r="6682" spans="1:19" x14ac:dyDescent="0.25">
      <c r="A6682" s="1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  <c r="P6682"/>
      <c r="Q6682"/>
      <c r="R6682"/>
      <c r="S6682"/>
    </row>
    <row r="6683" spans="1:19" x14ac:dyDescent="0.25">
      <c r="A6683" s="1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  <c r="P6683"/>
      <c r="Q6683"/>
      <c r="R6683"/>
      <c r="S6683"/>
    </row>
    <row r="6684" spans="1:19" x14ac:dyDescent="0.25">
      <c r="A6684" s="1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  <c r="P6684"/>
      <c r="Q6684"/>
      <c r="R6684"/>
      <c r="S6684"/>
    </row>
    <row r="6685" spans="1:19" x14ac:dyDescent="0.25">
      <c r="A6685" s="1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  <c r="P6685"/>
      <c r="Q6685"/>
      <c r="R6685"/>
      <c r="S6685"/>
    </row>
    <row r="6686" spans="1:19" x14ac:dyDescent="0.25">
      <c r="A6686" s="1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  <c r="P6686"/>
      <c r="Q6686"/>
      <c r="R6686"/>
      <c r="S6686"/>
    </row>
    <row r="6687" spans="1:19" x14ac:dyDescent="0.25">
      <c r="A6687" s="1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  <c r="P6687"/>
      <c r="Q6687"/>
      <c r="R6687"/>
      <c r="S6687"/>
    </row>
    <row r="6688" spans="1:19" x14ac:dyDescent="0.25">
      <c r="A6688" s="1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  <c r="P6688"/>
      <c r="Q6688"/>
      <c r="R6688"/>
      <c r="S6688"/>
    </row>
    <row r="6689" spans="1:19" x14ac:dyDescent="0.25">
      <c r="A6689" s="1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  <c r="P6689"/>
      <c r="Q6689"/>
      <c r="R6689"/>
      <c r="S6689"/>
    </row>
    <row r="6690" spans="1:19" x14ac:dyDescent="0.25">
      <c r="A6690" s="1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  <c r="P6690"/>
      <c r="Q6690"/>
      <c r="R6690"/>
      <c r="S6690"/>
    </row>
    <row r="6691" spans="1:19" x14ac:dyDescent="0.25">
      <c r="A6691" s="1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  <c r="P6691"/>
      <c r="Q6691"/>
      <c r="R6691"/>
      <c r="S6691"/>
    </row>
    <row r="6692" spans="1:19" x14ac:dyDescent="0.25">
      <c r="A6692" s="1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  <c r="P6692"/>
      <c r="Q6692"/>
      <c r="R6692"/>
      <c r="S6692"/>
    </row>
    <row r="6693" spans="1:19" x14ac:dyDescent="0.25">
      <c r="A6693" s="1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  <c r="P6693"/>
      <c r="Q6693"/>
      <c r="R6693"/>
      <c r="S6693"/>
    </row>
    <row r="6694" spans="1:19" x14ac:dyDescent="0.25">
      <c r="A6694" s="1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  <c r="P6694"/>
      <c r="Q6694"/>
      <c r="R6694"/>
      <c r="S6694"/>
    </row>
    <row r="6695" spans="1:19" x14ac:dyDescent="0.25">
      <c r="A6695" s="1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  <c r="P6695"/>
      <c r="Q6695"/>
      <c r="R6695"/>
      <c r="S6695"/>
    </row>
    <row r="6696" spans="1:19" x14ac:dyDescent="0.25">
      <c r="A6696" s="1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  <c r="P6696"/>
      <c r="Q6696"/>
      <c r="R6696"/>
      <c r="S6696"/>
    </row>
    <row r="6697" spans="1:19" x14ac:dyDescent="0.25">
      <c r="A6697" s="1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  <c r="P6697"/>
      <c r="Q6697"/>
      <c r="R6697"/>
      <c r="S6697"/>
    </row>
    <row r="6698" spans="1:19" x14ac:dyDescent="0.25">
      <c r="A6698" s="1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  <c r="P6698"/>
      <c r="Q6698"/>
      <c r="R6698"/>
      <c r="S6698"/>
    </row>
    <row r="6699" spans="1:19" x14ac:dyDescent="0.25">
      <c r="A6699" s="1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  <c r="P6699"/>
      <c r="Q6699"/>
      <c r="R6699"/>
      <c r="S6699"/>
    </row>
    <row r="6700" spans="1:19" x14ac:dyDescent="0.25">
      <c r="A6700" s="1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  <c r="P6700"/>
      <c r="Q6700"/>
      <c r="R6700"/>
      <c r="S6700"/>
    </row>
    <row r="6701" spans="1:19" x14ac:dyDescent="0.25">
      <c r="A6701" s="1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  <c r="P6701"/>
      <c r="Q6701"/>
      <c r="R6701"/>
      <c r="S6701"/>
    </row>
    <row r="6702" spans="1:19" x14ac:dyDescent="0.25">
      <c r="A6702" s="1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  <c r="P6702"/>
      <c r="Q6702"/>
      <c r="R6702"/>
      <c r="S6702"/>
    </row>
    <row r="6703" spans="1:19" x14ac:dyDescent="0.25">
      <c r="A6703" s="1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  <c r="P6703"/>
      <c r="Q6703"/>
      <c r="R6703"/>
      <c r="S6703"/>
    </row>
    <row r="6704" spans="1:19" x14ac:dyDescent="0.25">
      <c r="A6704" s="1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  <c r="P6704"/>
      <c r="Q6704"/>
      <c r="R6704"/>
      <c r="S6704"/>
    </row>
    <row r="6705" spans="1:19" x14ac:dyDescent="0.25">
      <c r="A6705" s="1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  <c r="P6705"/>
      <c r="Q6705"/>
      <c r="R6705"/>
      <c r="S6705"/>
    </row>
    <row r="6706" spans="1:19" x14ac:dyDescent="0.25">
      <c r="A6706" s="1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  <c r="P6706"/>
      <c r="Q6706"/>
      <c r="R6706"/>
      <c r="S6706"/>
    </row>
    <row r="6707" spans="1:19" x14ac:dyDescent="0.25">
      <c r="A6707" s="1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  <c r="P6707"/>
      <c r="Q6707"/>
      <c r="R6707"/>
      <c r="S6707"/>
    </row>
    <row r="6708" spans="1:19" x14ac:dyDescent="0.25">
      <c r="A6708" s="1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  <c r="P6708"/>
      <c r="Q6708"/>
      <c r="R6708"/>
      <c r="S6708"/>
    </row>
    <row r="6709" spans="1:19" x14ac:dyDescent="0.25">
      <c r="A6709" s="1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  <c r="P6709"/>
      <c r="Q6709"/>
      <c r="R6709"/>
      <c r="S6709"/>
    </row>
    <row r="6710" spans="1:19" x14ac:dyDescent="0.25">
      <c r="A6710" s="1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  <c r="P6710"/>
      <c r="Q6710"/>
      <c r="R6710"/>
      <c r="S6710"/>
    </row>
    <row r="6711" spans="1:19" x14ac:dyDescent="0.25">
      <c r="A6711" s="1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  <c r="P6711"/>
      <c r="Q6711"/>
      <c r="R6711"/>
      <c r="S6711"/>
    </row>
    <row r="6712" spans="1:19" x14ac:dyDescent="0.25">
      <c r="A6712" s="1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  <c r="P6712"/>
      <c r="Q6712"/>
      <c r="R6712"/>
      <c r="S6712"/>
    </row>
    <row r="6713" spans="1:19" x14ac:dyDescent="0.25">
      <c r="A6713" s="1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  <c r="P6713"/>
      <c r="Q6713"/>
      <c r="R6713"/>
      <c r="S6713"/>
    </row>
    <row r="6714" spans="1:19" x14ac:dyDescent="0.25">
      <c r="A6714" s="1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  <c r="P6714"/>
      <c r="Q6714"/>
      <c r="R6714"/>
      <c r="S6714"/>
    </row>
    <row r="6715" spans="1:19" x14ac:dyDescent="0.25">
      <c r="A6715" s="1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  <c r="P6715"/>
      <c r="Q6715"/>
      <c r="R6715"/>
      <c r="S6715"/>
    </row>
    <row r="6716" spans="1:19" x14ac:dyDescent="0.25">
      <c r="A6716" s="1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  <c r="P6716"/>
      <c r="Q6716"/>
      <c r="R6716"/>
      <c r="S6716"/>
    </row>
    <row r="6717" spans="1:19" x14ac:dyDescent="0.25">
      <c r="A6717" s="1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  <c r="P6717"/>
      <c r="Q6717"/>
      <c r="R6717"/>
      <c r="S6717"/>
    </row>
    <row r="6718" spans="1:19" x14ac:dyDescent="0.25">
      <c r="A6718" s="1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  <c r="P6718"/>
      <c r="Q6718"/>
      <c r="R6718"/>
      <c r="S6718"/>
    </row>
    <row r="6719" spans="1:19" x14ac:dyDescent="0.25">
      <c r="A6719" s="1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  <c r="P6719"/>
      <c r="Q6719"/>
      <c r="R6719"/>
      <c r="S6719"/>
    </row>
    <row r="6720" spans="1:19" x14ac:dyDescent="0.25">
      <c r="A6720" s="1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  <c r="P6720"/>
      <c r="Q6720"/>
      <c r="R6720"/>
      <c r="S6720"/>
    </row>
    <row r="6721" spans="1:19" x14ac:dyDescent="0.25">
      <c r="A6721" s="1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  <c r="P6721"/>
      <c r="Q6721"/>
      <c r="R6721"/>
      <c r="S6721"/>
    </row>
    <row r="6722" spans="1:19" x14ac:dyDescent="0.25">
      <c r="A6722" s="1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  <c r="P6722"/>
      <c r="Q6722"/>
      <c r="R6722"/>
      <c r="S6722"/>
    </row>
    <row r="6723" spans="1:19" x14ac:dyDescent="0.25">
      <c r="A6723" s="1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  <c r="P6723"/>
      <c r="Q6723"/>
      <c r="R6723"/>
      <c r="S6723"/>
    </row>
    <row r="6724" spans="1:19" x14ac:dyDescent="0.25">
      <c r="A6724" s="1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  <c r="P6724"/>
      <c r="Q6724"/>
      <c r="R6724"/>
      <c r="S6724"/>
    </row>
    <row r="6725" spans="1:19" x14ac:dyDescent="0.25">
      <c r="A6725" s="1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  <c r="P6725"/>
      <c r="Q6725"/>
      <c r="R6725"/>
      <c r="S6725"/>
    </row>
    <row r="6726" spans="1:19" x14ac:dyDescent="0.25">
      <c r="A6726" s="1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  <c r="P6726"/>
      <c r="Q6726"/>
      <c r="R6726"/>
      <c r="S6726"/>
    </row>
    <row r="6727" spans="1:19" x14ac:dyDescent="0.25">
      <c r="A6727" s="1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  <c r="P6727"/>
      <c r="Q6727"/>
      <c r="R6727"/>
      <c r="S6727"/>
    </row>
    <row r="6728" spans="1:19" x14ac:dyDescent="0.25">
      <c r="A6728" s="1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  <c r="P6728"/>
      <c r="Q6728"/>
      <c r="R6728"/>
      <c r="S6728"/>
    </row>
    <row r="6729" spans="1:19" x14ac:dyDescent="0.25">
      <c r="A6729" s="1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  <c r="P6729"/>
      <c r="Q6729"/>
      <c r="R6729"/>
      <c r="S6729"/>
    </row>
    <row r="6730" spans="1:19" x14ac:dyDescent="0.25">
      <c r="A6730" s="1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  <c r="P6730"/>
      <c r="Q6730"/>
      <c r="R6730"/>
      <c r="S6730"/>
    </row>
    <row r="6731" spans="1:19" x14ac:dyDescent="0.25">
      <c r="A6731" s="1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  <c r="P6731"/>
      <c r="Q6731"/>
      <c r="R6731"/>
      <c r="S6731"/>
    </row>
    <row r="6732" spans="1:19" x14ac:dyDescent="0.25">
      <c r="A6732" s="1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  <c r="P6732"/>
      <c r="Q6732"/>
      <c r="R6732"/>
      <c r="S6732"/>
    </row>
    <row r="6733" spans="1:19" x14ac:dyDescent="0.25">
      <c r="A6733" s="1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  <c r="P6733"/>
      <c r="Q6733"/>
      <c r="R6733"/>
      <c r="S6733"/>
    </row>
    <row r="6734" spans="1:19" x14ac:dyDescent="0.25">
      <c r="A6734" s="1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  <c r="P6734"/>
      <c r="Q6734"/>
      <c r="R6734"/>
      <c r="S6734"/>
    </row>
    <row r="6735" spans="1:19" x14ac:dyDescent="0.25">
      <c r="A6735" s="1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  <c r="P6735"/>
      <c r="Q6735"/>
      <c r="R6735"/>
      <c r="S6735"/>
    </row>
    <row r="6736" spans="1:19" x14ac:dyDescent="0.25">
      <c r="A6736" s="1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  <c r="P6736"/>
      <c r="Q6736"/>
      <c r="R6736"/>
      <c r="S6736"/>
    </row>
    <row r="6737" spans="1:19" x14ac:dyDescent="0.25">
      <c r="A6737" s="1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  <c r="P6737"/>
      <c r="Q6737"/>
      <c r="R6737"/>
      <c r="S6737"/>
    </row>
    <row r="6738" spans="1:19" x14ac:dyDescent="0.25">
      <c r="A6738" s="1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  <c r="P6738"/>
      <c r="Q6738"/>
      <c r="R6738"/>
      <c r="S6738"/>
    </row>
    <row r="6739" spans="1:19" x14ac:dyDescent="0.25">
      <c r="A6739" s="1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  <c r="P6739"/>
      <c r="Q6739"/>
      <c r="R6739"/>
      <c r="S6739"/>
    </row>
    <row r="6740" spans="1:19" x14ac:dyDescent="0.25">
      <c r="A6740" s="1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  <c r="P6740"/>
      <c r="Q6740"/>
      <c r="R6740"/>
      <c r="S6740"/>
    </row>
    <row r="6741" spans="1:19" x14ac:dyDescent="0.25">
      <c r="A6741" s="1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  <c r="P6741"/>
      <c r="Q6741"/>
      <c r="R6741"/>
      <c r="S6741"/>
    </row>
    <row r="6742" spans="1:19" x14ac:dyDescent="0.25">
      <c r="A6742" s="1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  <c r="P6742"/>
      <c r="Q6742"/>
      <c r="R6742"/>
      <c r="S6742"/>
    </row>
    <row r="6743" spans="1:19" x14ac:dyDescent="0.25">
      <c r="A6743" s="1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  <c r="P6743"/>
      <c r="Q6743"/>
      <c r="R6743"/>
      <c r="S6743"/>
    </row>
    <row r="6744" spans="1:19" x14ac:dyDescent="0.25">
      <c r="A6744" s="1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  <c r="P6744"/>
      <c r="Q6744"/>
      <c r="R6744"/>
      <c r="S6744"/>
    </row>
    <row r="6745" spans="1:19" x14ac:dyDescent="0.25">
      <c r="A6745" s="1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  <c r="P6745"/>
      <c r="Q6745"/>
      <c r="R6745"/>
      <c r="S6745"/>
    </row>
    <row r="6746" spans="1:19" x14ac:dyDescent="0.25">
      <c r="A6746" s="1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  <c r="P6746"/>
      <c r="Q6746"/>
      <c r="R6746"/>
      <c r="S6746"/>
    </row>
    <row r="6747" spans="1:19" x14ac:dyDescent="0.25">
      <c r="A6747" s="1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  <c r="P6747"/>
      <c r="Q6747"/>
      <c r="R6747"/>
      <c r="S6747"/>
    </row>
    <row r="6748" spans="1:19" x14ac:dyDescent="0.25">
      <c r="A6748" s="1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  <c r="P6748"/>
      <c r="Q6748"/>
      <c r="R6748"/>
      <c r="S6748"/>
    </row>
    <row r="6749" spans="1:19" x14ac:dyDescent="0.25">
      <c r="A6749" s="1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  <c r="P6749"/>
      <c r="Q6749"/>
      <c r="R6749"/>
      <c r="S6749"/>
    </row>
    <row r="6750" spans="1:19" x14ac:dyDescent="0.25">
      <c r="A6750" s="1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  <c r="P6750"/>
      <c r="Q6750"/>
      <c r="R6750"/>
      <c r="S6750"/>
    </row>
    <row r="6751" spans="1:19" x14ac:dyDescent="0.25">
      <c r="A6751" s="1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  <c r="P6751"/>
      <c r="Q6751"/>
      <c r="R6751"/>
      <c r="S6751"/>
    </row>
    <row r="6752" spans="1:19" x14ac:dyDescent="0.25">
      <c r="A6752" s="1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  <c r="P6752"/>
      <c r="Q6752"/>
      <c r="R6752"/>
      <c r="S6752"/>
    </row>
    <row r="6753" spans="1:19" x14ac:dyDescent="0.25">
      <c r="A6753" s="1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  <c r="P6753"/>
      <c r="Q6753"/>
      <c r="R6753"/>
      <c r="S6753"/>
    </row>
    <row r="6754" spans="1:19" x14ac:dyDescent="0.25">
      <c r="A6754" s="1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  <c r="P6754"/>
      <c r="Q6754"/>
      <c r="R6754"/>
      <c r="S6754"/>
    </row>
    <row r="6755" spans="1:19" x14ac:dyDescent="0.25">
      <c r="A6755" s="1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  <c r="P6755"/>
      <c r="Q6755"/>
      <c r="R6755"/>
      <c r="S6755"/>
    </row>
    <row r="6756" spans="1:19" x14ac:dyDescent="0.25">
      <c r="A6756" s="1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  <c r="P6756"/>
      <c r="Q6756"/>
      <c r="R6756"/>
      <c r="S6756"/>
    </row>
    <row r="6757" spans="1:19" x14ac:dyDescent="0.25">
      <c r="A6757" s="1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  <c r="P6757"/>
      <c r="Q6757"/>
      <c r="R6757"/>
      <c r="S6757"/>
    </row>
    <row r="6758" spans="1:19" x14ac:dyDescent="0.25">
      <c r="A6758" s="1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  <c r="P6758"/>
      <c r="Q6758"/>
      <c r="R6758"/>
      <c r="S6758"/>
    </row>
    <row r="6759" spans="1:19" x14ac:dyDescent="0.25">
      <c r="A6759" s="1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  <c r="P6759"/>
      <c r="Q6759"/>
      <c r="R6759"/>
      <c r="S6759"/>
    </row>
    <row r="6760" spans="1:19" x14ac:dyDescent="0.25">
      <c r="A6760" s="1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  <c r="P6760"/>
      <c r="Q6760"/>
      <c r="R6760"/>
      <c r="S6760"/>
    </row>
    <row r="6761" spans="1:19" x14ac:dyDescent="0.25">
      <c r="A6761" s="1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  <c r="P6761"/>
      <c r="Q6761"/>
      <c r="R6761"/>
      <c r="S6761"/>
    </row>
    <row r="6762" spans="1:19" x14ac:dyDescent="0.25">
      <c r="A6762" s="1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  <c r="P6762"/>
      <c r="Q6762"/>
      <c r="R6762"/>
      <c r="S6762"/>
    </row>
    <row r="6763" spans="1:19" x14ac:dyDescent="0.25">
      <c r="A6763" s="1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  <c r="P6763"/>
      <c r="Q6763"/>
      <c r="R6763"/>
      <c r="S6763"/>
    </row>
    <row r="6764" spans="1:19" x14ac:dyDescent="0.25">
      <c r="A6764" s="1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  <c r="P6764"/>
      <c r="Q6764"/>
      <c r="R6764"/>
      <c r="S6764"/>
    </row>
    <row r="6765" spans="1:19" x14ac:dyDescent="0.25">
      <c r="A6765" s="1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  <c r="P6765"/>
      <c r="Q6765"/>
      <c r="R6765"/>
      <c r="S6765"/>
    </row>
    <row r="6766" spans="1:19" x14ac:dyDescent="0.25">
      <c r="A6766" s="1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  <c r="P6766"/>
      <c r="Q6766"/>
      <c r="R6766"/>
      <c r="S6766"/>
    </row>
    <row r="6767" spans="1:19" x14ac:dyDescent="0.25">
      <c r="A6767" s="1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  <c r="P6767"/>
      <c r="Q6767"/>
      <c r="R6767"/>
      <c r="S6767"/>
    </row>
    <row r="6768" spans="1:19" x14ac:dyDescent="0.25">
      <c r="A6768" s="1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  <c r="P6768"/>
      <c r="Q6768"/>
      <c r="R6768"/>
      <c r="S6768"/>
    </row>
    <row r="6769" spans="1:19" x14ac:dyDescent="0.25">
      <c r="A6769" s="1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  <c r="P6769"/>
      <c r="Q6769"/>
      <c r="R6769"/>
      <c r="S6769"/>
    </row>
    <row r="6770" spans="1:19" x14ac:dyDescent="0.25">
      <c r="A6770" s="1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  <c r="P6770"/>
      <c r="Q6770"/>
      <c r="R6770"/>
      <c r="S6770"/>
    </row>
    <row r="6771" spans="1:19" x14ac:dyDescent="0.25">
      <c r="A6771" s="1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  <c r="P6771"/>
      <c r="Q6771"/>
      <c r="R6771"/>
      <c r="S6771"/>
    </row>
    <row r="6772" spans="1:19" x14ac:dyDescent="0.25">
      <c r="A6772" s="1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  <c r="P6772"/>
      <c r="Q6772"/>
      <c r="R6772"/>
      <c r="S6772"/>
    </row>
    <row r="6773" spans="1:19" x14ac:dyDescent="0.25">
      <c r="A6773" s="1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  <c r="P6773"/>
      <c r="Q6773"/>
      <c r="R6773"/>
      <c r="S6773"/>
    </row>
    <row r="6774" spans="1:19" x14ac:dyDescent="0.25">
      <c r="A6774" s="1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  <c r="P6774"/>
      <c r="Q6774"/>
      <c r="R6774"/>
      <c r="S6774"/>
    </row>
    <row r="6775" spans="1:19" x14ac:dyDescent="0.25">
      <c r="A6775" s="1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  <c r="P6775"/>
      <c r="Q6775"/>
      <c r="R6775"/>
      <c r="S6775"/>
    </row>
    <row r="6776" spans="1:19" x14ac:dyDescent="0.25">
      <c r="A6776" s="1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  <c r="P6776"/>
      <c r="Q6776"/>
      <c r="R6776"/>
      <c r="S6776"/>
    </row>
    <row r="6777" spans="1:19" x14ac:dyDescent="0.25">
      <c r="A6777" s="1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  <c r="P6777"/>
      <c r="Q6777"/>
      <c r="R6777"/>
      <c r="S6777"/>
    </row>
    <row r="6778" spans="1:19" x14ac:dyDescent="0.25">
      <c r="A6778" s="1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  <c r="P6778"/>
      <c r="Q6778"/>
      <c r="R6778"/>
      <c r="S6778"/>
    </row>
    <row r="6779" spans="1:19" x14ac:dyDescent="0.25">
      <c r="A6779" s="1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  <c r="P6779"/>
      <c r="Q6779"/>
      <c r="R6779"/>
      <c r="S6779"/>
    </row>
    <row r="6780" spans="1:19" x14ac:dyDescent="0.25">
      <c r="A6780" s="1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  <c r="P6780"/>
      <c r="Q6780"/>
      <c r="R6780"/>
      <c r="S6780"/>
    </row>
    <row r="6781" spans="1:19" x14ac:dyDescent="0.25">
      <c r="A6781" s="1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  <c r="P6781"/>
      <c r="Q6781"/>
      <c r="R6781"/>
      <c r="S6781"/>
    </row>
    <row r="6782" spans="1:19" x14ac:dyDescent="0.25">
      <c r="A6782" s="1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  <c r="P6782"/>
      <c r="Q6782"/>
      <c r="R6782"/>
      <c r="S6782"/>
    </row>
    <row r="6783" spans="1:19" x14ac:dyDescent="0.25">
      <c r="A6783" s="1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  <c r="P6783"/>
      <c r="Q6783"/>
      <c r="R6783"/>
      <c r="S6783"/>
    </row>
    <row r="6784" spans="1:19" x14ac:dyDescent="0.25">
      <c r="A6784" s="1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  <c r="P6784"/>
      <c r="Q6784"/>
      <c r="R6784"/>
      <c r="S6784"/>
    </row>
    <row r="6785" spans="1:19" x14ac:dyDescent="0.25">
      <c r="A6785" s="1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  <c r="P6785"/>
      <c r="Q6785"/>
      <c r="R6785"/>
      <c r="S6785"/>
    </row>
    <row r="6786" spans="1:19" x14ac:dyDescent="0.25">
      <c r="A6786" s="1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  <c r="P6786"/>
      <c r="Q6786"/>
      <c r="R6786"/>
      <c r="S6786"/>
    </row>
    <row r="6787" spans="1:19" x14ac:dyDescent="0.25">
      <c r="A6787" s="1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  <c r="P6787"/>
      <c r="Q6787"/>
      <c r="R6787"/>
      <c r="S6787"/>
    </row>
    <row r="6788" spans="1:19" x14ac:dyDescent="0.25">
      <c r="A6788" s="1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  <c r="P6788"/>
      <c r="Q6788"/>
      <c r="R6788"/>
      <c r="S6788"/>
    </row>
    <row r="6789" spans="1:19" x14ac:dyDescent="0.25">
      <c r="A6789" s="1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  <c r="P6789"/>
      <c r="Q6789"/>
      <c r="R6789"/>
      <c r="S6789"/>
    </row>
    <row r="6790" spans="1:19" x14ac:dyDescent="0.25">
      <c r="A6790" s="1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  <c r="P6790"/>
      <c r="Q6790"/>
      <c r="R6790"/>
      <c r="S6790"/>
    </row>
    <row r="6791" spans="1:19" x14ac:dyDescent="0.25">
      <c r="A6791" s="1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  <c r="P6791"/>
      <c r="Q6791"/>
      <c r="R6791"/>
      <c r="S6791"/>
    </row>
    <row r="6792" spans="1:19" x14ac:dyDescent="0.25">
      <c r="A6792" s="1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  <c r="P6792"/>
      <c r="Q6792"/>
      <c r="R6792"/>
      <c r="S6792"/>
    </row>
    <row r="6793" spans="1:19" x14ac:dyDescent="0.25">
      <c r="A6793" s="1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  <c r="P6793"/>
      <c r="Q6793"/>
      <c r="R6793"/>
      <c r="S6793"/>
    </row>
    <row r="6794" spans="1:19" x14ac:dyDescent="0.25">
      <c r="A6794" s="1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  <c r="P6794"/>
      <c r="Q6794"/>
      <c r="R6794"/>
      <c r="S6794"/>
    </row>
    <row r="6795" spans="1:19" x14ac:dyDescent="0.25">
      <c r="A6795" s="1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  <c r="P6795"/>
      <c r="Q6795"/>
      <c r="R6795"/>
      <c r="S6795"/>
    </row>
    <row r="6796" spans="1:19" x14ac:dyDescent="0.25">
      <c r="A6796" s="1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  <c r="P6796"/>
      <c r="Q6796"/>
      <c r="R6796"/>
      <c r="S6796"/>
    </row>
    <row r="6797" spans="1:19" x14ac:dyDescent="0.25">
      <c r="A6797" s="1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  <c r="P6797"/>
      <c r="Q6797"/>
      <c r="R6797"/>
      <c r="S6797"/>
    </row>
    <row r="6798" spans="1:19" x14ac:dyDescent="0.25">
      <c r="A6798" s="1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  <c r="P6798"/>
      <c r="Q6798"/>
      <c r="R6798"/>
      <c r="S6798"/>
    </row>
    <row r="6799" spans="1:19" x14ac:dyDescent="0.25">
      <c r="A6799" s="1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  <c r="P6799"/>
      <c r="Q6799"/>
      <c r="R6799"/>
      <c r="S6799"/>
    </row>
    <row r="6800" spans="1:19" x14ac:dyDescent="0.25">
      <c r="A6800" s="1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  <c r="P6800"/>
      <c r="Q6800"/>
      <c r="R6800"/>
      <c r="S6800"/>
    </row>
    <row r="6801" spans="1:19" x14ac:dyDescent="0.25">
      <c r="A6801" s="1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  <c r="P6801"/>
      <c r="Q6801"/>
      <c r="R6801"/>
      <c r="S6801"/>
    </row>
    <row r="6802" spans="1:19" x14ac:dyDescent="0.25">
      <c r="A6802" s="1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  <c r="P6802"/>
      <c r="Q6802"/>
      <c r="R6802"/>
      <c r="S6802"/>
    </row>
    <row r="6803" spans="1:19" x14ac:dyDescent="0.25">
      <c r="A6803" s="1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  <c r="P6803"/>
      <c r="Q6803"/>
      <c r="R6803"/>
      <c r="S6803"/>
    </row>
    <row r="6804" spans="1:19" x14ac:dyDescent="0.25">
      <c r="A6804" s="1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  <c r="P6804"/>
      <c r="Q6804"/>
      <c r="R6804"/>
      <c r="S6804"/>
    </row>
    <row r="6805" spans="1:19" x14ac:dyDescent="0.25">
      <c r="A6805" s="1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  <c r="P6805"/>
      <c r="Q6805"/>
      <c r="R6805"/>
      <c r="S6805"/>
    </row>
    <row r="6806" spans="1:19" x14ac:dyDescent="0.25">
      <c r="A6806" s="1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  <c r="P6806"/>
      <c r="Q6806"/>
      <c r="R6806"/>
      <c r="S6806"/>
    </row>
    <row r="6807" spans="1:19" x14ac:dyDescent="0.25">
      <c r="A6807" s="1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  <c r="P6807"/>
      <c r="Q6807"/>
      <c r="R6807"/>
      <c r="S6807"/>
    </row>
    <row r="6808" spans="1:19" x14ac:dyDescent="0.25">
      <c r="A6808" s="1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  <c r="P6808"/>
      <c r="Q6808"/>
      <c r="R6808"/>
      <c r="S6808"/>
    </row>
    <row r="6809" spans="1:19" x14ac:dyDescent="0.25">
      <c r="A6809" s="1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  <c r="P6809"/>
      <c r="Q6809"/>
      <c r="R6809"/>
      <c r="S6809"/>
    </row>
    <row r="6810" spans="1:19" x14ac:dyDescent="0.25">
      <c r="A6810" s="1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  <c r="P6810"/>
      <c r="Q6810"/>
      <c r="R6810"/>
      <c r="S6810"/>
    </row>
    <row r="6811" spans="1:19" x14ac:dyDescent="0.25">
      <c r="A6811" s="1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  <c r="P6811"/>
      <c r="Q6811"/>
      <c r="R6811"/>
      <c r="S6811"/>
    </row>
    <row r="6812" spans="1:19" x14ac:dyDescent="0.25">
      <c r="A6812" s="1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  <c r="P6812"/>
      <c r="Q6812"/>
      <c r="R6812"/>
      <c r="S6812"/>
    </row>
    <row r="6813" spans="1:19" x14ac:dyDescent="0.25">
      <c r="A6813" s="1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  <c r="P6813"/>
      <c r="Q6813"/>
      <c r="R6813"/>
      <c r="S6813"/>
    </row>
    <row r="6814" spans="1:19" x14ac:dyDescent="0.25">
      <c r="A6814" s="1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  <c r="P6814"/>
      <c r="Q6814"/>
      <c r="R6814"/>
      <c r="S6814"/>
    </row>
    <row r="6815" spans="1:19" x14ac:dyDescent="0.25">
      <c r="A6815" s="1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  <c r="P6815"/>
      <c r="Q6815"/>
      <c r="R6815"/>
      <c r="S6815"/>
    </row>
    <row r="6816" spans="1:19" x14ac:dyDescent="0.25">
      <c r="A6816" s="1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  <c r="P6816"/>
      <c r="Q6816"/>
      <c r="R6816"/>
      <c r="S6816"/>
    </row>
    <row r="6817" spans="1:19" x14ac:dyDescent="0.25">
      <c r="A6817" s="1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  <c r="P6817"/>
      <c r="Q6817"/>
      <c r="R6817"/>
      <c r="S6817"/>
    </row>
    <row r="6818" spans="1:19" x14ac:dyDescent="0.25">
      <c r="A6818" s="1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  <c r="P6818"/>
      <c r="Q6818"/>
      <c r="R6818"/>
      <c r="S6818"/>
    </row>
    <row r="6819" spans="1:19" x14ac:dyDescent="0.25">
      <c r="A6819" s="1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  <c r="P6819"/>
      <c r="Q6819"/>
      <c r="R6819"/>
      <c r="S6819"/>
    </row>
    <row r="6820" spans="1:19" x14ac:dyDescent="0.25">
      <c r="A6820" s="1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  <c r="P6820"/>
      <c r="Q6820"/>
      <c r="R6820"/>
      <c r="S6820"/>
    </row>
    <row r="6821" spans="1:19" x14ac:dyDescent="0.25">
      <c r="A6821" s="1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  <c r="P6821"/>
      <c r="Q6821"/>
      <c r="R6821"/>
      <c r="S6821"/>
    </row>
    <row r="6822" spans="1:19" x14ac:dyDescent="0.25">
      <c r="A6822" s="1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  <c r="P6822"/>
      <c r="Q6822"/>
      <c r="R6822"/>
      <c r="S6822"/>
    </row>
    <row r="6823" spans="1:19" x14ac:dyDescent="0.25">
      <c r="A6823" s="1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  <c r="P6823"/>
      <c r="Q6823"/>
      <c r="R6823"/>
      <c r="S6823"/>
    </row>
    <row r="6824" spans="1:19" x14ac:dyDescent="0.25">
      <c r="A6824" s="1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  <c r="P6824"/>
      <c r="Q6824"/>
      <c r="R6824"/>
      <c r="S6824"/>
    </row>
    <row r="6825" spans="1:19" x14ac:dyDescent="0.25">
      <c r="A6825" s="1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  <c r="P6825"/>
      <c r="Q6825"/>
      <c r="R6825"/>
      <c r="S6825"/>
    </row>
    <row r="6826" spans="1:19" x14ac:dyDescent="0.25">
      <c r="A6826" s="1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  <c r="P6826"/>
      <c r="Q6826"/>
      <c r="R6826"/>
      <c r="S6826"/>
    </row>
    <row r="6827" spans="1:19" x14ac:dyDescent="0.25">
      <c r="A6827" s="1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  <c r="P6827"/>
      <c r="Q6827"/>
      <c r="R6827"/>
      <c r="S6827"/>
    </row>
    <row r="6828" spans="1:19" x14ac:dyDescent="0.25">
      <c r="A6828" s="1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  <c r="P6828"/>
      <c r="Q6828"/>
      <c r="R6828"/>
      <c r="S6828"/>
    </row>
    <row r="6829" spans="1:19" x14ac:dyDescent="0.25">
      <c r="A6829" s="1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  <c r="P6829"/>
      <c r="Q6829"/>
      <c r="R6829"/>
      <c r="S6829"/>
    </row>
    <row r="6830" spans="1:19" x14ac:dyDescent="0.25">
      <c r="A6830" s="1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  <c r="P6830"/>
      <c r="Q6830"/>
      <c r="R6830"/>
      <c r="S6830"/>
    </row>
    <row r="6831" spans="1:19" x14ac:dyDescent="0.25">
      <c r="A6831" s="1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  <c r="P6831"/>
      <c r="Q6831"/>
      <c r="R6831"/>
      <c r="S6831"/>
    </row>
    <row r="6832" spans="1:19" x14ac:dyDescent="0.25">
      <c r="A6832" s="1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  <c r="P6832"/>
      <c r="Q6832"/>
      <c r="R6832"/>
      <c r="S6832"/>
    </row>
    <row r="6833" spans="1:19" x14ac:dyDescent="0.25">
      <c r="A6833" s="1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  <c r="P6833"/>
      <c r="Q6833"/>
      <c r="R6833"/>
      <c r="S6833"/>
    </row>
    <row r="6834" spans="1:19" x14ac:dyDescent="0.25">
      <c r="A6834" s="1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  <c r="P6834"/>
      <c r="Q6834"/>
      <c r="R6834"/>
      <c r="S6834"/>
    </row>
    <row r="6835" spans="1:19" x14ac:dyDescent="0.25">
      <c r="A6835" s="1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  <c r="P6835"/>
      <c r="Q6835"/>
      <c r="R6835"/>
      <c r="S6835"/>
    </row>
    <row r="6836" spans="1:19" x14ac:dyDescent="0.25">
      <c r="A6836" s="1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  <c r="P6836"/>
      <c r="Q6836"/>
      <c r="R6836"/>
      <c r="S6836"/>
    </row>
    <row r="6837" spans="1:19" x14ac:dyDescent="0.25">
      <c r="A6837" s="1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  <c r="P6837"/>
      <c r="Q6837"/>
      <c r="R6837"/>
      <c r="S6837"/>
    </row>
    <row r="6838" spans="1:19" x14ac:dyDescent="0.25">
      <c r="A6838" s="1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  <c r="P6838"/>
      <c r="Q6838"/>
      <c r="R6838"/>
      <c r="S6838"/>
    </row>
    <row r="6839" spans="1:19" x14ac:dyDescent="0.25">
      <c r="A6839" s="1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  <c r="P6839"/>
      <c r="Q6839"/>
      <c r="R6839"/>
      <c r="S6839"/>
    </row>
    <row r="6840" spans="1:19" x14ac:dyDescent="0.25">
      <c r="A6840" s="1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  <c r="P6840"/>
      <c r="Q6840"/>
      <c r="R6840"/>
      <c r="S6840"/>
    </row>
    <row r="6841" spans="1:19" x14ac:dyDescent="0.25">
      <c r="A6841" s="1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  <c r="P6841"/>
      <c r="Q6841"/>
      <c r="R6841"/>
      <c r="S6841"/>
    </row>
    <row r="6842" spans="1:19" x14ac:dyDescent="0.25">
      <c r="A6842" s="1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  <c r="P6842"/>
      <c r="Q6842"/>
      <c r="R6842"/>
      <c r="S6842"/>
    </row>
    <row r="6843" spans="1:19" x14ac:dyDescent="0.25">
      <c r="A6843" s="1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  <c r="P6843"/>
      <c r="Q6843"/>
      <c r="R6843"/>
      <c r="S6843"/>
    </row>
    <row r="6844" spans="1:19" x14ac:dyDescent="0.25">
      <c r="A6844" s="1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  <c r="P6844"/>
      <c r="Q6844"/>
      <c r="R6844"/>
      <c r="S6844"/>
    </row>
    <row r="6845" spans="1:19" x14ac:dyDescent="0.25">
      <c r="A6845" s="1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  <c r="P6845"/>
      <c r="Q6845"/>
      <c r="R6845"/>
      <c r="S6845"/>
    </row>
    <row r="6846" spans="1:19" x14ac:dyDescent="0.25">
      <c r="A6846" s="1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  <c r="P6846"/>
      <c r="Q6846"/>
      <c r="R6846"/>
      <c r="S6846"/>
    </row>
    <row r="6847" spans="1:19" x14ac:dyDescent="0.25">
      <c r="A6847" s="1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  <c r="P6847"/>
      <c r="Q6847"/>
      <c r="R6847"/>
      <c r="S6847"/>
    </row>
    <row r="6848" spans="1:19" x14ac:dyDescent="0.25">
      <c r="A6848" s="1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  <c r="P6848"/>
      <c r="Q6848"/>
      <c r="R6848"/>
      <c r="S6848"/>
    </row>
    <row r="6849" spans="1:19" x14ac:dyDescent="0.25">
      <c r="A6849" s="1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  <c r="P6849"/>
      <c r="Q6849"/>
      <c r="R6849"/>
      <c r="S6849"/>
    </row>
    <row r="6850" spans="1:19" x14ac:dyDescent="0.25">
      <c r="A6850" s="1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  <c r="P6850"/>
      <c r="Q6850"/>
      <c r="R6850"/>
      <c r="S6850"/>
    </row>
    <row r="6851" spans="1:19" x14ac:dyDescent="0.25">
      <c r="A6851" s="1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  <c r="P6851"/>
      <c r="Q6851"/>
      <c r="R6851"/>
      <c r="S6851"/>
    </row>
    <row r="6852" spans="1:19" x14ac:dyDescent="0.25">
      <c r="A6852" s="1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  <c r="P6852"/>
      <c r="Q6852"/>
      <c r="R6852"/>
      <c r="S6852"/>
    </row>
    <row r="6853" spans="1:19" x14ac:dyDescent="0.25">
      <c r="A6853" s="1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  <c r="P6853"/>
      <c r="Q6853"/>
      <c r="R6853"/>
      <c r="S6853"/>
    </row>
    <row r="6854" spans="1:19" x14ac:dyDescent="0.25">
      <c r="A6854" s="1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  <c r="P6854"/>
      <c r="Q6854"/>
      <c r="R6854"/>
      <c r="S6854"/>
    </row>
    <row r="6855" spans="1:19" x14ac:dyDescent="0.25">
      <c r="A6855" s="1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  <c r="P6855"/>
      <c r="Q6855"/>
      <c r="R6855"/>
      <c r="S6855"/>
    </row>
    <row r="6856" spans="1:19" x14ac:dyDescent="0.25">
      <c r="A6856" s="1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  <c r="P6856"/>
      <c r="Q6856"/>
      <c r="R6856"/>
      <c r="S6856"/>
    </row>
    <row r="6857" spans="1:19" x14ac:dyDescent="0.25">
      <c r="A6857" s="1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  <c r="P6857"/>
      <c r="Q6857"/>
      <c r="R6857"/>
      <c r="S6857"/>
    </row>
    <row r="6858" spans="1:19" x14ac:dyDescent="0.25">
      <c r="A6858" s="1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  <c r="P6858"/>
      <c r="Q6858"/>
      <c r="R6858"/>
      <c r="S6858"/>
    </row>
    <row r="6859" spans="1:19" x14ac:dyDescent="0.25">
      <c r="A6859" s="1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  <c r="P6859"/>
      <c r="Q6859"/>
      <c r="R6859"/>
      <c r="S6859"/>
    </row>
    <row r="6860" spans="1:19" x14ac:dyDescent="0.25">
      <c r="A6860" s="1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  <c r="P6860"/>
      <c r="Q6860"/>
      <c r="R6860"/>
      <c r="S6860"/>
    </row>
    <row r="6861" spans="1:19" x14ac:dyDescent="0.25">
      <c r="A6861" s="1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  <c r="P6861"/>
      <c r="Q6861"/>
      <c r="R6861"/>
      <c r="S6861"/>
    </row>
    <row r="6862" spans="1:19" x14ac:dyDescent="0.25">
      <c r="A6862" s="1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  <c r="P6862"/>
      <c r="Q6862"/>
      <c r="R6862"/>
      <c r="S6862"/>
    </row>
    <row r="6863" spans="1:19" x14ac:dyDescent="0.25">
      <c r="A6863" s="1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  <c r="P6863"/>
      <c r="Q6863"/>
      <c r="R6863"/>
      <c r="S6863"/>
    </row>
    <row r="6864" spans="1:19" x14ac:dyDescent="0.25">
      <c r="A6864" s="1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  <c r="P6864"/>
      <c r="Q6864"/>
      <c r="R6864"/>
      <c r="S6864"/>
    </row>
    <row r="6865" spans="1:19" x14ac:dyDescent="0.25">
      <c r="A6865" s="1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  <c r="P6865"/>
      <c r="Q6865"/>
      <c r="R6865"/>
      <c r="S6865"/>
    </row>
    <row r="6866" spans="1:19" x14ac:dyDescent="0.25">
      <c r="A6866" s="1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  <c r="P6866"/>
      <c r="Q6866"/>
      <c r="R6866"/>
      <c r="S6866"/>
    </row>
    <row r="6867" spans="1:19" x14ac:dyDescent="0.25">
      <c r="A6867" s="1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  <c r="P6867"/>
      <c r="Q6867"/>
      <c r="R6867"/>
      <c r="S6867"/>
    </row>
    <row r="6868" spans="1:19" x14ac:dyDescent="0.25">
      <c r="A6868" s="1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  <c r="P6868"/>
      <c r="Q6868"/>
      <c r="R6868"/>
      <c r="S6868"/>
    </row>
    <row r="6869" spans="1:19" x14ac:dyDescent="0.25">
      <c r="A6869" s="1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  <c r="P6869"/>
      <c r="Q6869"/>
      <c r="R6869"/>
      <c r="S6869"/>
    </row>
    <row r="6870" spans="1:19" x14ac:dyDescent="0.25">
      <c r="A6870" s="1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  <c r="P6870"/>
      <c r="Q6870"/>
      <c r="R6870"/>
      <c r="S6870"/>
    </row>
    <row r="6871" spans="1:19" x14ac:dyDescent="0.25">
      <c r="A6871" s="1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  <c r="P6871"/>
      <c r="Q6871"/>
      <c r="R6871"/>
      <c r="S6871"/>
    </row>
    <row r="6872" spans="1:19" x14ac:dyDescent="0.25">
      <c r="A6872" s="1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  <c r="P6872"/>
      <c r="Q6872"/>
      <c r="R6872"/>
      <c r="S6872"/>
    </row>
    <row r="6873" spans="1:19" x14ac:dyDescent="0.25">
      <c r="A6873" s="1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  <c r="P6873"/>
      <c r="Q6873"/>
      <c r="R6873"/>
      <c r="S6873"/>
    </row>
    <row r="6874" spans="1:19" x14ac:dyDescent="0.25">
      <c r="A6874" s="1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  <c r="P6874"/>
      <c r="Q6874"/>
      <c r="R6874"/>
      <c r="S6874"/>
    </row>
    <row r="6875" spans="1:19" x14ac:dyDescent="0.25">
      <c r="A6875" s="1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  <c r="P6875"/>
      <c r="Q6875"/>
      <c r="R6875"/>
      <c r="S6875"/>
    </row>
    <row r="6876" spans="1:19" x14ac:dyDescent="0.25">
      <c r="A6876" s="1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  <c r="P6876"/>
      <c r="Q6876"/>
      <c r="R6876"/>
      <c r="S6876"/>
    </row>
    <row r="6877" spans="1:19" x14ac:dyDescent="0.25">
      <c r="A6877" s="1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  <c r="P6877"/>
      <c r="Q6877"/>
      <c r="R6877"/>
      <c r="S6877"/>
    </row>
    <row r="6878" spans="1:19" x14ac:dyDescent="0.25">
      <c r="A6878" s="1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  <c r="P6878"/>
      <c r="Q6878"/>
      <c r="R6878"/>
      <c r="S6878"/>
    </row>
    <row r="6879" spans="1:19" x14ac:dyDescent="0.25">
      <c r="A6879" s="1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  <c r="P6879"/>
      <c r="Q6879"/>
      <c r="R6879"/>
      <c r="S6879"/>
    </row>
    <row r="6880" spans="1:19" x14ac:dyDescent="0.25">
      <c r="A6880" s="1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  <c r="P6880"/>
      <c r="Q6880"/>
      <c r="R6880"/>
      <c r="S6880"/>
    </row>
    <row r="6881" spans="1:19" x14ac:dyDescent="0.25">
      <c r="A6881" s="1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  <c r="P6881"/>
      <c r="Q6881"/>
      <c r="R6881"/>
      <c r="S6881"/>
    </row>
    <row r="6882" spans="1:19" x14ac:dyDescent="0.25">
      <c r="A6882" s="1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  <c r="P6882"/>
      <c r="Q6882"/>
      <c r="R6882"/>
      <c r="S6882"/>
    </row>
    <row r="6883" spans="1:19" x14ac:dyDescent="0.25">
      <c r="A6883" s="1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  <c r="P6883"/>
      <c r="Q6883"/>
      <c r="R6883"/>
      <c r="S6883"/>
    </row>
    <row r="6884" spans="1:19" x14ac:dyDescent="0.25">
      <c r="A6884" s="1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  <c r="P6884"/>
      <c r="Q6884"/>
      <c r="R6884"/>
      <c r="S6884"/>
    </row>
    <row r="6885" spans="1:19" x14ac:dyDescent="0.25">
      <c r="A6885" s="1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  <c r="P6885"/>
      <c r="Q6885"/>
      <c r="R6885"/>
      <c r="S6885"/>
    </row>
    <row r="6886" spans="1:19" x14ac:dyDescent="0.25">
      <c r="A6886" s="1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  <c r="P6886"/>
      <c r="Q6886"/>
      <c r="R6886"/>
      <c r="S6886"/>
    </row>
    <row r="6887" spans="1:19" x14ac:dyDescent="0.25">
      <c r="A6887" s="1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  <c r="P6887"/>
      <c r="Q6887"/>
      <c r="R6887"/>
      <c r="S6887"/>
    </row>
    <row r="6888" spans="1:19" x14ac:dyDescent="0.25">
      <c r="A6888" s="1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  <c r="P6888"/>
      <c r="Q6888"/>
      <c r="R6888"/>
      <c r="S6888"/>
    </row>
    <row r="6889" spans="1:19" x14ac:dyDescent="0.25">
      <c r="A6889" s="1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  <c r="P6889"/>
      <c r="Q6889"/>
      <c r="R6889"/>
      <c r="S6889"/>
    </row>
    <row r="6890" spans="1:19" x14ac:dyDescent="0.25">
      <c r="A6890" s="1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  <c r="P6890"/>
      <c r="Q6890"/>
      <c r="R6890"/>
      <c r="S6890"/>
    </row>
    <row r="6891" spans="1:19" x14ac:dyDescent="0.25">
      <c r="A6891" s="1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  <c r="P6891"/>
      <c r="Q6891"/>
      <c r="R6891"/>
      <c r="S6891"/>
    </row>
    <row r="6892" spans="1:19" x14ac:dyDescent="0.25">
      <c r="A6892" s="1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  <c r="P6892"/>
      <c r="Q6892"/>
      <c r="R6892"/>
      <c r="S6892"/>
    </row>
    <row r="6893" spans="1:19" x14ac:dyDescent="0.25">
      <c r="A6893" s="1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  <c r="P6893"/>
      <c r="Q6893"/>
      <c r="R6893"/>
      <c r="S6893"/>
    </row>
    <row r="6894" spans="1:19" x14ac:dyDescent="0.25">
      <c r="A6894" s="1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  <c r="P6894"/>
      <c r="Q6894"/>
      <c r="R6894"/>
      <c r="S6894"/>
    </row>
    <row r="6895" spans="1:19" x14ac:dyDescent="0.25">
      <c r="A6895" s="1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  <c r="P6895"/>
      <c r="Q6895"/>
      <c r="R6895"/>
      <c r="S6895"/>
    </row>
    <row r="6896" spans="1:19" x14ac:dyDescent="0.25">
      <c r="A6896" s="1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  <c r="P6896"/>
      <c r="Q6896"/>
      <c r="R6896"/>
      <c r="S6896"/>
    </row>
    <row r="6897" spans="1:19" x14ac:dyDescent="0.25">
      <c r="A6897" s="1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  <c r="P6897"/>
      <c r="Q6897"/>
      <c r="R6897"/>
      <c r="S6897"/>
    </row>
    <row r="6898" spans="1:19" x14ac:dyDescent="0.25">
      <c r="A6898" s="1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  <c r="P6898"/>
      <c r="Q6898"/>
      <c r="R6898"/>
      <c r="S6898"/>
    </row>
    <row r="6899" spans="1:19" x14ac:dyDescent="0.25">
      <c r="A6899" s="1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  <c r="P6899"/>
      <c r="Q6899"/>
      <c r="R6899"/>
      <c r="S6899"/>
    </row>
    <row r="6900" spans="1:19" x14ac:dyDescent="0.25">
      <c r="A6900" s="1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  <c r="P6900"/>
      <c r="Q6900"/>
      <c r="R6900"/>
      <c r="S6900"/>
    </row>
    <row r="6901" spans="1:19" x14ac:dyDescent="0.25">
      <c r="A6901" s="1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  <c r="P6901"/>
      <c r="Q6901"/>
      <c r="R6901"/>
      <c r="S6901"/>
    </row>
    <row r="6902" spans="1:19" x14ac:dyDescent="0.25">
      <c r="A6902" s="1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  <c r="P6902"/>
      <c r="Q6902"/>
      <c r="R6902"/>
      <c r="S6902"/>
    </row>
    <row r="6903" spans="1:19" x14ac:dyDescent="0.25">
      <c r="A6903" s="1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  <c r="P6903"/>
      <c r="Q6903"/>
      <c r="R6903"/>
      <c r="S6903"/>
    </row>
    <row r="6904" spans="1:19" x14ac:dyDescent="0.25">
      <c r="A6904" s="1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  <c r="P6904"/>
      <c r="Q6904"/>
      <c r="R6904"/>
      <c r="S6904"/>
    </row>
    <row r="6905" spans="1:19" x14ac:dyDescent="0.25">
      <c r="A6905" s="1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  <c r="P6905"/>
      <c r="Q6905"/>
      <c r="R6905"/>
      <c r="S6905"/>
    </row>
    <row r="6906" spans="1:19" x14ac:dyDescent="0.25">
      <c r="A6906" s="1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  <c r="P6906"/>
      <c r="Q6906"/>
      <c r="R6906"/>
      <c r="S6906"/>
    </row>
    <row r="6907" spans="1:19" x14ac:dyDescent="0.25">
      <c r="A6907" s="1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  <c r="P6907"/>
      <c r="Q6907"/>
      <c r="R6907"/>
      <c r="S6907"/>
    </row>
    <row r="6908" spans="1:19" x14ac:dyDescent="0.25">
      <c r="A6908" s="1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  <c r="P6908"/>
      <c r="Q6908"/>
      <c r="R6908"/>
      <c r="S6908"/>
    </row>
    <row r="6909" spans="1:19" x14ac:dyDescent="0.25">
      <c r="A6909" s="1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  <c r="P6909"/>
      <c r="Q6909"/>
      <c r="R6909"/>
      <c r="S6909"/>
    </row>
    <row r="6910" spans="1:19" x14ac:dyDescent="0.25">
      <c r="A6910" s="1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  <c r="P6910"/>
      <c r="Q6910"/>
      <c r="R6910"/>
      <c r="S6910"/>
    </row>
    <row r="6911" spans="1:19" x14ac:dyDescent="0.25">
      <c r="A6911" s="1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  <c r="P6911"/>
      <c r="Q6911"/>
      <c r="R6911"/>
      <c r="S6911"/>
    </row>
    <row r="6912" spans="1:19" x14ac:dyDescent="0.25">
      <c r="A6912" s="1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  <c r="P6912"/>
      <c r="Q6912"/>
      <c r="R6912"/>
      <c r="S6912"/>
    </row>
    <row r="6913" spans="1:19" x14ac:dyDescent="0.25">
      <c r="A6913" s="1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  <c r="P6913"/>
      <c r="Q6913"/>
      <c r="R6913"/>
      <c r="S6913"/>
    </row>
    <row r="6914" spans="1:19" x14ac:dyDescent="0.25">
      <c r="A6914" s="1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  <c r="P6914"/>
      <c r="Q6914"/>
      <c r="R6914"/>
      <c r="S6914"/>
    </row>
    <row r="6915" spans="1:19" x14ac:dyDescent="0.25">
      <c r="A6915" s="1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  <c r="P6915"/>
      <c r="Q6915"/>
      <c r="R6915"/>
      <c r="S6915"/>
    </row>
    <row r="6916" spans="1:19" x14ac:dyDescent="0.25">
      <c r="A6916" s="1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  <c r="P6916"/>
      <c r="Q6916"/>
      <c r="R6916"/>
      <c r="S6916"/>
    </row>
    <row r="6917" spans="1:19" x14ac:dyDescent="0.25">
      <c r="A6917" s="1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  <c r="P6917"/>
      <c r="Q6917"/>
      <c r="R6917"/>
      <c r="S6917"/>
    </row>
    <row r="6918" spans="1:19" x14ac:dyDescent="0.25">
      <c r="A6918" s="1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  <c r="P6918"/>
      <c r="Q6918"/>
      <c r="R6918"/>
      <c r="S6918"/>
    </row>
    <row r="6919" spans="1:19" x14ac:dyDescent="0.25">
      <c r="A6919" s="1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  <c r="P6919"/>
      <c r="Q6919"/>
      <c r="R6919"/>
      <c r="S6919"/>
    </row>
    <row r="6920" spans="1:19" x14ac:dyDescent="0.25">
      <c r="A6920" s="1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  <c r="P6920"/>
      <c r="Q6920"/>
      <c r="R6920"/>
      <c r="S6920"/>
    </row>
    <row r="6921" spans="1:19" x14ac:dyDescent="0.25">
      <c r="A6921" s="1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  <c r="P6921"/>
      <c r="Q6921"/>
      <c r="R6921"/>
      <c r="S6921"/>
    </row>
    <row r="6922" spans="1:19" x14ac:dyDescent="0.25">
      <c r="A6922" s="1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  <c r="P6922"/>
      <c r="Q6922"/>
      <c r="R6922"/>
      <c r="S6922"/>
    </row>
    <row r="6923" spans="1:19" x14ac:dyDescent="0.25">
      <c r="A6923" s="1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  <c r="P6923"/>
      <c r="Q6923"/>
      <c r="R6923"/>
      <c r="S6923"/>
    </row>
    <row r="6924" spans="1:19" x14ac:dyDescent="0.25">
      <c r="A6924" s="1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  <c r="P6924"/>
      <c r="Q6924"/>
      <c r="R6924"/>
      <c r="S6924"/>
    </row>
    <row r="6925" spans="1:19" x14ac:dyDescent="0.25">
      <c r="A6925" s="1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  <c r="P6925"/>
      <c r="Q6925"/>
      <c r="R6925"/>
      <c r="S6925"/>
    </row>
    <row r="6926" spans="1:19" x14ac:dyDescent="0.25">
      <c r="A6926" s="1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  <c r="P6926"/>
      <c r="Q6926"/>
      <c r="R6926"/>
      <c r="S6926"/>
    </row>
    <row r="6927" spans="1:19" x14ac:dyDescent="0.25">
      <c r="A6927" s="1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  <c r="P6927"/>
      <c r="Q6927"/>
      <c r="R6927"/>
      <c r="S6927"/>
    </row>
    <row r="6928" spans="1:19" x14ac:dyDescent="0.25">
      <c r="A6928" s="1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  <c r="P6928"/>
      <c r="Q6928"/>
      <c r="R6928"/>
      <c r="S6928"/>
    </row>
    <row r="6929" spans="1:19" x14ac:dyDescent="0.25">
      <c r="A6929" s="1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  <c r="P6929"/>
      <c r="Q6929"/>
      <c r="R6929"/>
      <c r="S6929"/>
    </row>
    <row r="6930" spans="1:19" x14ac:dyDescent="0.25">
      <c r="A6930" s="1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  <c r="P6930"/>
      <c r="Q6930"/>
      <c r="R6930"/>
      <c r="S6930"/>
    </row>
    <row r="6931" spans="1:19" x14ac:dyDescent="0.25">
      <c r="A6931" s="1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  <c r="P6931"/>
      <c r="Q6931"/>
      <c r="R6931"/>
      <c r="S6931"/>
    </row>
    <row r="6932" spans="1:19" x14ac:dyDescent="0.25">
      <c r="A6932" s="1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  <c r="P6932"/>
      <c r="Q6932"/>
      <c r="R6932"/>
      <c r="S6932"/>
    </row>
    <row r="6933" spans="1:19" x14ac:dyDescent="0.25">
      <c r="A6933" s="1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  <c r="P6933"/>
      <c r="Q6933"/>
      <c r="R6933"/>
      <c r="S6933"/>
    </row>
    <row r="6934" spans="1:19" x14ac:dyDescent="0.25">
      <c r="A6934" s="1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  <c r="P6934"/>
      <c r="Q6934"/>
      <c r="R6934"/>
      <c r="S6934"/>
    </row>
    <row r="6935" spans="1:19" x14ac:dyDescent="0.25">
      <c r="A6935" s="1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  <c r="P6935"/>
      <c r="Q6935"/>
      <c r="R6935"/>
      <c r="S6935"/>
    </row>
    <row r="6936" spans="1:19" x14ac:dyDescent="0.25">
      <c r="A6936" s="1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  <c r="P6936"/>
      <c r="Q6936"/>
      <c r="R6936"/>
      <c r="S6936"/>
    </row>
    <row r="6937" spans="1:19" x14ac:dyDescent="0.25">
      <c r="A6937" s="1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  <c r="P6937"/>
      <c r="Q6937"/>
      <c r="R6937"/>
      <c r="S6937"/>
    </row>
    <row r="6938" spans="1:19" x14ac:dyDescent="0.25">
      <c r="A6938" s="1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  <c r="P6938"/>
      <c r="Q6938"/>
      <c r="R6938"/>
      <c r="S6938"/>
    </row>
    <row r="6939" spans="1:19" x14ac:dyDescent="0.25">
      <c r="A6939" s="1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  <c r="P6939"/>
      <c r="Q6939"/>
      <c r="R6939"/>
      <c r="S6939"/>
    </row>
    <row r="6940" spans="1:19" x14ac:dyDescent="0.25">
      <c r="A6940" s="1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  <c r="P6940"/>
      <c r="Q6940"/>
      <c r="R6940"/>
      <c r="S6940"/>
    </row>
    <row r="6941" spans="1:19" x14ac:dyDescent="0.25">
      <c r="A6941" s="1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  <c r="P6941"/>
      <c r="Q6941"/>
      <c r="R6941"/>
      <c r="S6941"/>
    </row>
    <row r="6942" spans="1:19" x14ac:dyDescent="0.25">
      <c r="A6942" s="1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  <c r="P6942"/>
      <c r="Q6942"/>
      <c r="R6942"/>
      <c r="S6942"/>
    </row>
    <row r="6943" spans="1:19" x14ac:dyDescent="0.25">
      <c r="A6943" s="1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  <c r="P6943"/>
      <c r="Q6943"/>
      <c r="R6943"/>
      <c r="S6943"/>
    </row>
    <row r="6944" spans="1:19" x14ac:dyDescent="0.25">
      <c r="A6944" s="1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  <c r="P6944"/>
      <c r="Q6944"/>
      <c r="R6944"/>
      <c r="S6944"/>
    </row>
    <row r="6945" spans="1:19" x14ac:dyDescent="0.25">
      <c r="A6945" s="1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  <c r="P6945"/>
      <c r="Q6945"/>
      <c r="R6945"/>
      <c r="S6945"/>
    </row>
    <row r="6946" spans="1:19" x14ac:dyDescent="0.25">
      <c r="A6946" s="1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  <c r="P6946"/>
      <c r="Q6946"/>
      <c r="R6946"/>
      <c r="S6946"/>
    </row>
    <row r="6947" spans="1:19" x14ac:dyDescent="0.25">
      <c r="A6947" s="1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  <c r="P6947"/>
      <c r="Q6947"/>
      <c r="R6947"/>
      <c r="S6947"/>
    </row>
    <row r="6948" spans="1:19" x14ac:dyDescent="0.25">
      <c r="A6948" s="1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  <c r="P6948"/>
      <c r="Q6948"/>
      <c r="R6948"/>
      <c r="S6948"/>
    </row>
    <row r="6949" spans="1:19" x14ac:dyDescent="0.25">
      <c r="A6949" s="1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  <c r="P6949"/>
      <c r="Q6949"/>
      <c r="R6949"/>
      <c r="S6949"/>
    </row>
    <row r="6950" spans="1:19" x14ac:dyDescent="0.25">
      <c r="A6950" s="1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  <c r="P6950"/>
      <c r="Q6950"/>
      <c r="R6950"/>
      <c r="S6950"/>
    </row>
    <row r="6951" spans="1:19" x14ac:dyDescent="0.25">
      <c r="A6951" s="1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  <c r="P6951"/>
      <c r="Q6951"/>
      <c r="R6951"/>
      <c r="S6951"/>
    </row>
    <row r="6952" spans="1:19" x14ac:dyDescent="0.25">
      <c r="A6952" s="1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  <c r="P6952"/>
      <c r="Q6952"/>
      <c r="R6952"/>
      <c r="S6952"/>
    </row>
    <row r="6953" spans="1:19" x14ac:dyDescent="0.25">
      <c r="A6953" s="1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  <c r="P6953"/>
      <c r="Q6953"/>
      <c r="R6953"/>
      <c r="S6953"/>
    </row>
    <row r="6954" spans="1:19" x14ac:dyDescent="0.25">
      <c r="A6954" s="1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  <c r="P6954"/>
      <c r="Q6954"/>
      <c r="R6954"/>
      <c r="S6954"/>
    </row>
    <row r="6955" spans="1:19" x14ac:dyDescent="0.25">
      <c r="A6955" s="1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  <c r="P6955"/>
      <c r="Q6955"/>
      <c r="R6955"/>
      <c r="S6955"/>
    </row>
    <row r="6956" spans="1:19" x14ac:dyDescent="0.25">
      <c r="A6956" s="1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  <c r="P6956"/>
      <c r="Q6956"/>
      <c r="R6956"/>
      <c r="S6956"/>
    </row>
    <row r="6957" spans="1:19" x14ac:dyDescent="0.25">
      <c r="A6957" s="1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  <c r="P6957"/>
      <c r="Q6957"/>
      <c r="R6957"/>
      <c r="S6957"/>
    </row>
    <row r="6958" spans="1:19" x14ac:dyDescent="0.25">
      <c r="A6958" s="1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  <c r="P6958"/>
      <c r="Q6958"/>
      <c r="R6958"/>
      <c r="S6958"/>
    </row>
    <row r="6959" spans="1:19" x14ac:dyDescent="0.25">
      <c r="A6959" s="1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  <c r="P6959"/>
      <c r="Q6959"/>
      <c r="R6959"/>
      <c r="S6959"/>
    </row>
    <row r="6960" spans="1:19" x14ac:dyDescent="0.25">
      <c r="A6960" s="1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  <c r="P6960"/>
      <c r="Q6960"/>
      <c r="R6960"/>
      <c r="S6960"/>
    </row>
    <row r="6961" spans="1:19" x14ac:dyDescent="0.25">
      <c r="A6961" s="1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  <c r="P6961"/>
      <c r="Q6961"/>
      <c r="R6961"/>
      <c r="S6961"/>
    </row>
    <row r="6962" spans="1:19" x14ac:dyDescent="0.25">
      <c r="A6962" s="1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  <c r="P6962"/>
      <c r="Q6962"/>
      <c r="R6962"/>
      <c r="S6962"/>
    </row>
    <row r="6963" spans="1:19" x14ac:dyDescent="0.25">
      <c r="A6963" s="1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  <c r="P6963"/>
      <c r="Q6963"/>
      <c r="R6963"/>
      <c r="S6963"/>
    </row>
    <row r="6964" spans="1:19" x14ac:dyDescent="0.25">
      <c r="A6964" s="1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  <c r="P6964"/>
      <c r="Q6964"/>
      <c r="R6964"/>
      <c r="S6964"/>
    </row>
    <row r="6965" spans="1:19" x14ac:dyDescent="0.25">
      <c r="A6965" s="1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  <c r="P6965"/>
      <c r="Q6965"/>
      <c r="R6965"/>
      <c r="S6965"/>
    </row>
    <row r="6966" spans="1:19" x14ac:dyDescent="0.25">
      <c r="A6966" s="1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  <c r="P6966"/>
      <c r="Q6966"/>
      <c r="R6966"/>
      <c r="S6966"/>
    </row>
    <row r="6967" spans="1:19" x14ac:dyDescent="0.25">
      <c r="A6967" s="1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  <c r="P6967"/>
      <c r="Q6967"/>
      <c r="R6967"/>
      <c r="S6967"/>
    </row>
    <row r="6968" spans="1:19" x14ac:dyDescent="0.25">
      <c r="A6968" s="1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  <c r="P6968"/>
      <c r="Q6968"/>
      <c r="R6968"/>
      <c r="S6968"/>
    </row>
    <row r="6969" spans="1:19" x14ac:dyDescent="0.25">
      <c r="A6969" s="1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  <c r="P6969"/>
      <c r="Q6969"/>
      <c r="R6969"/>
      <c r="S6969"/>
    </row>
    <row r="6970" spans="1:19" x14ac:dyDescent="0.25">
      <c r="A6970" s="1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  <c r="P6970"/>
      <c r="Q6970"/>
      <c r="R6970"/>
      <c r="S6970"/>
    </row>
    <row r="6971" spans="1:19" x14ac:dyDescent="0.25">
      <c r="A6971" s="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  <c r="P6971"/>
      <c r="Q6971"/>
      <c r="R6971"/>
      <c r="S6971"/>
    </row>
    <row r="6972" spans="1:19" x14ac:dyDescent="0.25">
      <c r="A6972" s="1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  <c r="P6972"/>
      <c r="Q6972"/>
      <c r="R6972"/>
      <c r="S6972"/>
    </row>
    <row r="6973" spans="1:19" x14ac:dyDescent="0.25">
      <c r="A6973" s="1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  <c r="P6973"/>
      <c r="Q6973"/>
      <c r="R6973"/>
      <c r="S6973"/>
    </row>
    <row r="6974" spans="1:19" x14ac:dyDescent="0.25">
      <c r="A6974" s="1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  <c r="P6974"/>
      <c r="Q6974"/>
      <c r="R6974"/>
      <c r="S6974"/>
    </row>
    <row r="6975" spans="1:19" x14ac:dyDescent="0.25">
      <c r="A6975" s="1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  <c r="P6975"/>
      <c r="Q6975"/>
      <c r="R6975"/>
      <c r="S6975"/>
    </row>
    <row r="6976" spans="1:19" x14ac:dyDescent="0.25">
      <c r="A6976" s="1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  <c r="P6976"/>
      <c r="Q6976"/>
      <c r="R6976"/>
      <c r="S6976"/>
    </row>
    <row r="6977" spans="1:19" x14ac:dyDescent="0.25">
      <c r="A6977" s="1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  <c r="P6977"/>
      <c r="Q6977"/>
      <c r="R6977"/>
      <c r="S6977"/>
    </row>
    <row r="6978" spans="1:19" x14ac:dyDescent="0.25">
      <c r="A6978" s="1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  <c r="P6978"/>
      <c r="Q6978"/>
      <c r="R6978"/>
      <c r="S6978"/>
    </row>
    <row r="6979" spans="1:19" x14ac:dyDescent="0.25">
      <c r="A6979" s="1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  <c r="P6979"/>
      <c r="Q6979"/>
      <c r="R6979"/>
      <c r="S6979"/>
    </row>
    <row r="6980" spans="1:19" x14ac:dyDescent="0.25">
      <c r="A6980" s="1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  <c r="P6980"/>
      <c r="Q6980"/>
      <c r="R6980"/>
      <c r="S6980"/>
    </row>
    <row r="6981" spans="1:19" x14ac:dyDescent="0.25">
      <c r="A6981" s="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  <c r="P6981"/>
      <c r="Q6981"/>
      <c r="R6981"/>
      <c r="S6981"/>
    </row>
    <row r="6982" spans="1:19" x14ac:dyDescent="0.25">
      <c r="A6982" s="1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  <c r="P6982"/>
      <c r="Q6982"/>
      <c r="R6982"/>
      <c r="S6982"/>
    </row>
    <row r="6983" spans="1:19" x14ac:dyDescent="0.25">
      <c r="A6983" s="1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  <c r="P6983"/>
      <c r="Q6983"/>
      <c r="R6983"/>
      <c r="S6983"/>
    </row>
    <row r="6984" spans="1:19" x14ac:dyDescent="0.25">
      <c r="A6984" s="1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  <c r="P6984"/>
      <c r="Q6984"/>
      <c r="R6984"/>
      <c r="S6984"/>
    </row>
    <row r="6985" spans="1:19" x14ac:dyDescent="0.25">
      <c r="A6985" s="1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  <c r="P6985"/>
      <c r="Q6985"/>
      <c r="R6985"/>
      <c r="S6985"/>
    </row>
    <row r="6986" spans="1:19" x14ac:dyDescent="0.25">
      <c r="A6986" s="1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  <c r="P6986"/>
      <c r="Q6986"/>
      <c r="R6986"/>
      <c r="S6986"/>
    </row>
    <row r="6987" spans="1:19" x14ac:dyDescent="0.25">
      <c r="A6987" s="1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  <c r="P6987"/>
      <c r="Q6987"/>
      <c r="R6987"/>
      <c r="S6987"/>
    </row>
    <row r="6988" spans="1:19" x14ac:dyDescent="0.25">
      <c r="A6988" s="1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  <c r="P6988"/>
      <c r="Q6988"/>
      <c r="R6988"/>
      <c r="S6988"/>
    </row>
    <row r="6989" spans="1:19" x14ac:dyDescent="0.25">
      <c r="A6989" s="1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  <c r="P6989"/>
      <c r="Q6989"/>
      <c r="R6989"/>
      <c r="S6989"/>
    </row>
    <row r="6990" spans="1:19" x14ac:dyDescent="0.25">
      <c r="A6990" s="1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  <c r="P6990"/>
      <c r="Q6990"/>
      <c r="R6990"/>
      <c r="S6990"/>
    </row>
    <row r="6991" spans="1:19" x14ac:dyDescent="0.25">
      <c r="A6991" s="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  <c r="P6991"/>
      <c r="Q6991"/>
      <c r="R6991"/>
      <c r="S6991"/>
    </row>
    <row r="6992" spans="1:19" x14ac:dyDescent="0.25">
      <c r="A6992" s="1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  <c r="P6992"/>
      <c r="Q6992"/>
      <c r="R6992"/>
      <c r="S6992"/>
    </row>
    <row r="6993" spans="1:19" x14ac:dyDescent="0.25">
      <c r="A6993" s="1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  <c r="P6993"/>
      <c r="Q6993"/>
      <c r="R6993"/>
      <c r="S6993"/>
    </row>
    <row r="6994" spans="1:19" x14ac:dyDescent="0.25">
      <c r="A6994" s="1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  <c r="P6994"/>
      <c r="Q6994"/>
      <c r="R6994"/>
      <c r="S6994"/>
    </row>
    <row r="6995" spans="1:19" x14ac:dyDescent="0.25">
      <c r="A6995" s="1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  <c r="P6995"/>
      <c r="Q6995"/>
      <c r="R6995"/>
      <c r="S6995"/>
    </row>
    <row r="6996" spans="1:19" x14ac:dyDescent="0.25">
      <c r="A6996" s="1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  <c r="P6996"/>
      <c r="Q6996"/>
      <c r="R6996"/>
      <c r="S6996"/>
    </row>
    <row r="6997" spans="1:19" x14ac:dyDescent="0.25">
      <c r="A6997" s="1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  <c r="P6997"/>
      <c r="Q6997"/>
      <c r="R6997"/>
      <c r="S6997"/>
    </row>
    <row r="6998" spans="1:19" x14ac:dyDescent="0.25">
      <c r="A6998" s="1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  <c r="P6998"/>
      <c r="Q6998"/>
      <c r="R6998"/>
      <c r="S6998"/>
    </row>
    <row r="6999" spans="1:19" x14ac:dyDescent="0.25">
      <c r="A6999" s="1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  <c r="P6999"/>
      <c r="Q6999"/>
      <c r="R6999"/>
      <c r="S6999"/>
    </row>
    <row r="7000" spans="1:19" x14ac:dyDescent="0.25">
      <c r="A7000" s="1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  <c r="P7000"/>
      <c r="Q7000"/>
      <c r="R7000"/>
      <c r="S7000"/>
    </row>
    <row r="7001" spans="1:19" x14ac:dyDescent="0.25">
      <c r="A7001" s="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  <c r="P7001"/>
      <c r="Q7001"/>
      <c r="R7001"/>
      <c r="S7001"/>
    </row>
    <row r="7002" spans="1:19" x14ac:dyDescent="0.25">
      <c r="A7002" s="1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  <c r="P7002"/>
      <c r="Q7002"/>
      <c r="R7002"/>
      <c r="S7002"/>
    </row>
    <row r="7003" spans="1:19" x14ac:dyDescent="0.25">
      <c r="A7003" s="1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  <c r="P7003"/>
      <c r="Q7003"/>
      <c r="R7003"/>
      <c r="S7003"/>
    </row>
    <row r="7004" spans="1:19" x14ac:dyDescent="0.25">
      <c r="A7004" s="1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  <c r="P7004"/>
      <c r="Q7004"/>
      <c r="R7004"/>
      <c r="S7004"/>
    </row>
    <row r="7005" spans="1:19" x14ac:dyDescent="0.25">
      <c r="A7005" s="1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  <c r="P7005"/>
      <c r="Q7005"/>
      <c r="R7005"/>
      <c r="S7005"/>
    </row>
    <row r="7006" spans="1:19" x14ac:dyDescent="0.25">
      <c r="A7006" s="1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  <c r="P7006"/>
      <c r="Q7006"/>
      <c r="R7006"/>
      <c r="S7006"/>
    </row>
    <row r="7007" spans="1:19" x14ac:dyDescent="0.25">
      <c r="A7007" s="1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  <c r="P7007"/>
      <c r="Q7007"/>
      <c r="R7007"/>
      <c r="S7007"/>
    </row>
    <row r="7008" spans="1:19" x14ac:dyDescent="0.25">
      <c r="A7008" s="1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  <c r="P7008"/>
      <c r="Q7008"/>
      <c r="R7008"/>
      <c r="S7008"/>
    </row>
    <row r="7009" spans="1:19" x14ac:dyDescent="0.25">
      <c r="A7009" s="1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  <c r="P7009"/>
      <c r="Q7009"/>
      <c r="R7009"/>
      <c r="S7009"/>
    </row>
    <row r="7010" spans="1:19" x14ac:dyDescent="0.25">
      <c r="A7010" s="1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  <c r="P7010"/>
      <c r="Q7010"/>
      <c r="R7010"/>
      <c r="S7010"/>
    </row>
    <row r="7011" spans="1:19" x14ac:dyDescent="0.25">
      <c r="A7011" s="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  <c r="P7011"/>
      <c r="Q7011"/>
      <c r="R7011"/>
      <c r="S7011"/>
    </row>
    <row r="7012" spans="1:19" x14ac:dyDescent="0.25">
      <c r="A7012" s="1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  <c r="P7012"/>
      <c r="Q7012"/>
      <c r="R7012"/>
      <c r="S7012"/>
    </row>
    <row r="7013" spans="1:19" x14ac:dyDescent="0.25">
      <c r="A7013" s="1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  <c r="P7013"/>
      <c r="Q7013"/>
      <c r="R7013"/>
      <c r="S7013"/>
    </row>
    <row r="7014" spans="1:19" x14ac:dyDescent="0.25">
      <c r="A7014" s="1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  <c r="P7014"/>
      <c r="Q7014"/>
      <c r="R7014"/>
      <c r="S7014"/>
    </row>
    <row r="7015" spans="1:19" x14ac:dyDescent="0.25">
      <c r="A7015" s="1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  <c r="P7015"/>
      <c r="Q7015"/>
      <c r="R7015"/>
      <c r="S7015"/>
    </row>
    <row r="7016" spans="1:19" x14ac:dyDescent="0.25">
      <c r="A7016" s="1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  <c r="P7016"/>
      <c r="Q7016"/>
      <c r="R7016"/>
      <c r="S7016"/>
    </row>
    <row r="7017" spans="1:19" x14ac:dyDescent="0.25">
      <c r="A7017" s="1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  <c r="P7017"/>
      <c r="Q7017"/>
      <c r="R7017"/>
      <c r="S7017"/>
    </row>
    <row r="7018" spans="1:19" x14ac:dyDescent="0.25">
      <c r="A7018" s="1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  <c r="P7018"/>
      <c r="Q7018"/>
      <c r="R7018"/>
      <c r="S7018"/>
    </row>
    <row r="7019" spans="1:19" x14ac:dyDescent="0.25">
      <c r="A7019" s="1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  <c r="P7019"/>
      <c r="Q7019"/>
      <c r="R7019"/>
      <c r="S7019"/>
    </row>
    <row r="7020" spans="1:19" x14ac:dyDescent="0.25">
      <c r="A7020" s="1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  <c r="P7020"/>
      <c r="Q7020"/>
      <c r="R7020"/>
      <c r="S7020"/>
    </row>
    <row r="7021" spans="1:19" x14ac:dyDescent="0.25">
      <c r="A7021" s="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  <c r="P7021"/>
      <c r="Q7021"/>
      <c r="R7021"/>
      <c r="S7021"/>
    </row>
    <row r="7022" spans="1:19" x14ac:dyDescent="0.25">
      <c r="A7022" s="1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  <c r="P7022"/>
      <c r="Q7022"/>
      <c r="R7022"/>
      <c r="S7022"/>
    </row>
    <row r="7023" spans="1:19" x14ac:dyDescent="0.25">
      <c r="A7023" s="1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  <c r="P7023"/>
      <c r="Q7023"/>
      <c r="R7023"/>
      <c r="S7023"/>
    </row>
    <row r="7024" spans="1:19" x14ac:dyDescent="0.25">
      <c r="A7024" s="1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  <c r="P7024"/>
      <c r="Q7024"/>
      <c r="R7024"/>
      <c r="S7024"/>
    </row>
    <row r="7025" spans="1:19" x14ac:dyDescent="0.25">
      <c r="A7025" s="1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  <c r="P7025"/>
      <c r="Q7025"/>
      <c r="R7025"/>
      <c r="S7025"/>
    </row>
    <row r="7026" spans="1:19" x14ac:dyDescent="0.25">
      <c r="A7026" s="1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  <c r="P7026"/>
      <c r="Q7026"/>
      <c r="R7026"/>
      <c r="S7026"/>
    </row>
    <row r="7027" spans="1:19" x14ac:dyDescent="0.25">
      <c r="A7027" s="1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  <c r="P7027"/>
      <c r="Q7027"/>
      <c r="R7027"/>
      <c r="S7027"/>
    </row>
    <row r="7028" spans="1:19" x14ac:dyDescent="0.25">
      <c r="A7028" s="1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  <c r="P7028"/>
      <c r="Q7028"/>
      <c r="R7028"/>
      <c r="S7028"/>
    </row>
    <row r="7029" spans="1:19" x14ac:dyDescent="0.25">
      <c r="A7029" s="1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  <c r="P7029"/>
      <c r="Q7029"/>
      <c r="R7029"/>
      <c r="S7029"/>
    </row>
    <row r="7030" spans="1:19" x14ac:dyDescent="0.25">
      <c r="A7030" s="1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  <c r="P7030"/>
      <c r="Q7030"/>
      <c r="R7030"/>
      <c r="S7030"/>
    </row>
    <row r="7031" spans="1:19" x14ac:dyDescent="0.25">
      <c r="A7031" s="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  <c r="P7031"/>
      <c r="Q7031"/>
      <c r="R7031"/>
      <c r="S7031"/>
    </row>
    <row r="7032" spans="1:19" x14ac:dyDescent="0.25">
      <c r="A7032" s="1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  <c r="P7032"/>
      <c r="Q7032"/>
      <c r="R7032"/>
      <c r="S7032"/>
    </row>
    <row r="7033" spans="1:19" x14ac:dyDescent="0.25">
      <c r="A7033" s="1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  <c r="P7033"/>
      <c r="Q7033"/>
      <c r="R7033"/>
      <c r="S7033"/>
    </row>
    <row r="7034" spans="1:19" x14ac:dyDescent="0.25">
      <c r="A7034" s="1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  <c r="P7034"/>
      <c r="Q7034"/>
      <c r="R7034"/>
      <c r="S7034"/>
    </row>
    <row r="7035" spans="1:19" x14ac:dyDescent="0.25">
      <c r="A7035" s="1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  <c r="P7035"/>
      <c r="Q7035"/>
      <c r="R7035"/>
      <c r="S7035"/>
    </row>
    <row r="7036" spans="1:19" x14ac:dyDescent="0.25">
      <c r="A7036" s="1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  <c r="P7036"/>
      <c r="Q7036"/>
      <c r="R7036"/>
      <c r="S7036"/>
    </row>
    <row r="7037" spans="1:19" x14ac:dyDescent="0.25">
      <c r="A7037" s="1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  <c r="P7037"/>
      <c r="Q7037"/>
      <c r="R7037"/>
      <c r="S7037"/>
    </row>
    <row r="7038" spans="1:19" x14ac:dyDescent="0.25">
      <c r="A7038" s="1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  <c r="P7038"/>
      <c r="Q7038"/>
      <c r="R7038"/>
      <c r="S7038"/>
    </row>
    <row r="7039" spans="1:19" x14ac:dyDescent="0.25">
      <c r="A7039" s="1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  <c r="P7039"/>
      <c r="Q7039"/>
      <c r="R7039"/>
      <c r="S7039"/>
    </row>
    <row r="7040" spans="1:19" x14ac:dyDescent="0.25">
      <c r="A7040" s="1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  <c r="P7040"/>
      <c r="Q7040"/>
      <c r="R7040"/>
      <c r="S7040"/>
    </row>
    <row r="7041" spans="1:19" x14ac:dyDescent="0.25">
      <c r="A7041" s="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  <c r="P7041"/>
      <c r="Q7041"/>
      <c r="R7041"/>
      <c r="S7041"/>
    </row>
    <row r="7042" spans="1:19" x14ac:dyDescent="0.25">
      <c r="A7042" s="1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  <c r="P7042"/>
      <c r="Q7042"/>
      <c r="R7042"/>
      <c r="S7042"/>
    </row>
    <row r="7043" spans="1:19" x14ac:dyDescent="0.25">
      <c r="A7043" s="1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  <c r="P7043"/>
      <c r="Q7043"/>
      <c r="R7043"/>
      <c r="S7043"/>
    </row>
    <row r="7044" spans="1:19" x14ac:dyDescent="0.25">
      <c r="A7044" s="1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  <c r="P7044"/>
      <c r="Q7044"/>
      <c r="R7044"/>
      <c r="S7044"/>
    </row>
    <row r="7045" spans="1:19" x14ac:dyDescent="0.25">
      <c r="A7045" s="1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  <c r="P7045"/>
      <c r="Q7045"/>
      <c r="R7045"/>
      <c r="S7045"/>
    </row>
    <row r="7046" spans="1:19" x14ac:dyDescent="0.25">
      <c r="A7046" s="1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  <c r="P7046"/>
      <c r="Q7046"/>
      <c r="R7046"/>
      <c r="S7046"/>
    </row>
    <row r="7047" spans="1:19" x14ac:dyDescent="0.25">
      <c r="A7047" s="1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  <c r="P7047"/>
      <c r="Q7047"/>
      <c r="R7047"/>
      <c r="S7047"/>
    </row>
    <row r="7048" spans="1:19" x14ac:dyDescent="0.25">
      <c r="A7048" s="1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  <c r="P7048"/>
      <c r="Q7048"/>
      <c r="R7048"/>
      <c r="S7048"/>
    </row>
    <row r="7049" spans="1:19" x14ac:dyDescent="0.25">
      <c r="A7049" s="1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  <c r="P7049"/>
      <c r="Q7049"/>
      <c r="R7049"/>
      <c r="S7049"/>
    </row>
    <row r="7050" spans="1:19" x14ac:dyDescent="0.25">
      <c r="A7050" s="1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  <c r="P7050"/>
      <c r="Q7050"/>
      <c r="R7050"/>
      <c r="S7050"/>
    </row>
    <row r="7051" spans="1:19" x14ac:dyDescent="0.25">
      <c r="A7051" s="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  <c r="P7051"/>
      <c r="Q7051"/>
      <c r="R7051"/>
      <c r="S7051"/>
    </row>
    <row r="7052" spans="1:19" x14ac:dyDescent="0.25">
      <c r="A7052" s="1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  <c r="P7052"/>
      <c r="Q7052"/>
      <c r="R7052"/>
      <c r="S7052"/>
    </row>
    <row r="7053" spans="1:19" x14ac:dyDescent="0.25">
      <c r="A7053" s="1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  <c r="P7053"/>
      <c r="Q7053"/>
      <c r="R7053"/>
      <c r="S7053"/>
    </row>
    <row r="7054" spans="1:19" x14ac:dyDescent="0.25">
      <c r="A7054" s="1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  <c r="P7054"/>
      <c r="Q7054"/>
      <c r="R7054"/>
      <c r="S7054"/>
    </row>
    <row r="7055" spans="1:19" x14ac:dyDescent="0.25">
      <c r="A7055" s="1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  <c r="P7055"/>
      <c r="Q7055"/>
      <c r="R7055"/>
      <c r="S7055"/>
    </row>
    <row r="7056" spans="1:19" x14ac:dyDescent="0.25">
      <c r="A7056" s="1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  <c r="P7056"/>
      <c r="Q7056"/>
      <c r="R7056"/>
      <c r="S7056"/>
    </row>
    <row r="7057" spans="1:19" x14ac:dyDescent="0.25">
      <c r="A7057" s="1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  <c r="P7057"/>
      <c r="Q7057"/>
      <c r="R7057"/>
      <c r="S7057"/>
    </row>
    <row r="7058" spans="1:19" x14ac:dyDescent="0.25">
      <c r="A7058" s="1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  <c r="P7058"/>
      <c r="Q7058"/>
      <c r="R7058"/>
      <c r="S7058"/>
    </row>
    <row r="7059" spans="1:19" x14ac:dyDescent="0.25">
      <c r="A7059" s="1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  <c r="P7059"/>
      <c r="Q7059"/>
      <c r="R7059"/>
      <c r="S7059"/>
    </row>
    <row r="7060" spans="1:19" x14ac:dyDescent="0.25">
      <c r="A7060" s="1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  <c r="P7060"/>
      <c r="Q7060"/>
      <c r="R7060"/>
      <c r="S7060"/>
    </row>
    <row r="7061" spans="1:19" x14ac:dyDescent="0.25">
      <c r="A7061" s="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  <c r="P7061"/>
      <c r="Q7061"/>
      <c r="R7061"/>
      <c r="S7061"/>
    </row>
    <row r="7062" spans="1:19" x14ac:dyDescent="0.25">
      <c r="A7062" s="1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  <c r="P7062"/>
      <c r="Q7062"/>
      <c r="R7062"/>
      <c r="S7062"/>
    </row>
    <row r="7063" spans="1:19" x14ac:dyDescent="0.25">
      <c r="A7063" s="1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  <c r="P7063"/>
      <c r="Q7063"/>
      <c r="R7063"/>
      <c r="S7063"/>
    </row>
    <row r="7064" spans="1:19" x14ac:dyDescent="0.25">
      <c r="A7064" s="1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  <c r="P7064"/>
      <c r="Q7064"/>
      <c r="R7064"/>
      <c r="S7064"/>
    </row>
    <row r="7065" spans="1:19" x14ac:dyDescent="0.25">
      <c r="A7065" s="1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  <c r="P7065"/>
      <c r="Q7065"/>
      <c r="R7065"/>
      <c r="S7065"/>
    </row>
    <row r="7066" spans="1:19" x14ac:dyDescent="0.25">
      <c r="A7066" s="1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  <c r="P7066"/>
      <c r="Q7066"/>
      <c r="R7066"/>
      <c r="S7066"/>
    </row>
    <row r="7067" spans="1:19" x14ac:dyDescent="0.25">
      <c r="A7067" s="1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  <c r="P7067"/>
      <c r="Q7067"/>
      <c r="R7067"/>
      <c r="S7067"/>
    </row>
    <row r="7068" spans="1:19" x14ac:dyDescent="0.25">
      <c r="A7068" s="1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  <c r="P7068"/>
      <c r="Q7068"/>
      <c r="R7068"/>
      <c r="S7068"/>
    </row>
    <row r="7069" spans="1:19" x14ac:dyDescent="0.25">
      <c r="A7069" s="1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  <c r="P7069"/>
      <c r="Q7069"/>
      <c r="R7069"/>
      <c r="S7069"/>
    </row>
    <row r="7070" spans="1:19" x14ac:dyDescent="0.25">
      <c r="A7070" s="1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  <c r="P7070"/>
      <c r="Q7070"/>
      <c r="R7070"/>
      <c r="S7070"/>
    </row>
    <row r="7071" spans="1:19" x14ac:dyDescent="0.25">
      <c r="A7071" s="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  <c r="P7071"/>
      <c r="Q7071"/>
      <c r="R7071"/>
      <c r="S7071"/>
    </row>
    <row r="7072" spans="1:19" x14ac:dyDescent="0.25">
      <c r="A7072" s="1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  <c r="P7072"/>
      <c r="Q7072"/>
      <c r="R7072"/>
      <c r="S7072"/>
    </row>
    <row r="7073" spans="1:19" x14ac:dyDescent="0.25">
      <c r="A7073" s="1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  <c r="P7073"/>
      <c r="Q7073"/>
      <c r="R7073"/>
      <c r="S7073"/>
    </row>
    <row r="7074" spans="1:19" x14ac:dyDescent="0.25">
      <c r="A7074" s="1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  <c r="P7074"/>
      <c r="Q7074"/>
      <c r="R7074"/>
      <c r="S7074"/>
    </row>
    <row r="7075" spans="1:19" x14ac:dyDescent="0.25">
      <c r="A7075" s="1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  <c r="P7075"/>
      <c r="Q7075"/>
      <c r="R7075"/>
      <c r="S7075"/>
    </row>
    <row r="7076" spans="1:19" x14ac:dyDescent="0.25">
      <c r="A7076" s="1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  <c r="P7076"/>
      <c r="Q7076"/>
      <c r="R7076"/>
      <c r="S7076"/>
    </row>
    <row r="7077" spans="1:19" x14ac:dyDescent="0.25">
      <c r="A7077" s="1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  <c r="P7077"/>
      <c r="Q7077"/>
      <c r="R7077"/>
      <c r="S7077"/>
    </row>
    <row r="7078" spans="1:19" x14ac:dyDescent="0.25">
      <c r="A7078" s="1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  <c r="P7078"/>
      <c r="Q7078"/>
      <c r="R7078"/>
      <c r="S7078"/>
    </row>
    <row r="7079" spans="1:19" x14ac:dyDescent="0.25">
      <c r="A7079" s="1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  <c r="P7079"/>
      <c r="Q7079"/>
      <c r="R7079"/>
      <c r="S7079"/>
    </row>
    <row r="7080" spans="1:19" x14ac:dyDescent="0.25">
      <c r="A7080" s="1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  <c r="P7080"/>
      <c r="Q7080"/>
      <c r="R7080"/>
      <c r="S7080"/>
    </row>
    <row r="7081" spans="1:19" x14ac:dyDescent="0.25">
      <c r="A7081" s="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  <c r="P7081"/>
      <c r="Q7081"/>
      <c r="R7081"/>
      <c r="S7081"/>
    </row>
    <row r="7082" spans="1:19" x14ac:dyDescent="0.25">
      <c r="A7082" s="1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  <c r="P7082"/>
      <c r="Q7082"/>
      <c r="R7082"/>
      <c r="S7082"/>
    </row>
    <row r="7083" spans="1:19" x14ac:dyDescent="0.25">
      <c r="A7083" s="1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  <c r="P7083"/>
      <c r="Q7083"/>
      <c r="R7083"/>
      <c r="S7083"/>
    </row>
    <row r="7084" spans="1:19" x14ac:dyDescent="0.25">
      <c r="A7084" s="1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  <c r="P7084"/>
      <c r="Q7084"/>
      <c r="R7084"/>
      <c r="S7084"/>
    </row>
    <row r="7085" spans="1:19" x14ac:dyDescent="0.25">
      <c r="A7085" s="1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  <c r="P7085"/>
      <c r="Q7085"/>
      <c r="R7085"/>
      <c r="S7085"/>
    </row>
    <row r="7086" spans="1:19" x14ac:dyDescent="0.25">
      <c r="A7086" s="1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  <c r="P7086"/>
      <c r="Q7086"/>
      <c r="R7086"/>
      <c r="S7086"/>
    </row>
    <row r="7087" spans="1:19" x14ac:dyDescent="0.25">
      <c r="A7087" s="1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  <c r="P7087"/>
      <c r="Q7087"/>
      <c r="R7087"/>
      <c r="S7087"/>
    </row>
    <row r="7088" spans="1:19" x14ac:dyDescent="0.25">
      <c r="A7088" s="1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  <c r="P7088"/>
      <c r="Q7088"/>
      <c r="R7088"/>
      <c r="S7088"/>
    </row>
    <row r="7089" spans="1:19" x14ac:dyDescent="0.25">
      <c r="A7089" s="1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  <c r="P7089"/>
      <c r="Q7089"/>
      <c r="R7089"/>
      <c r="S7089"/>
    </row>
    <row r="7090" spans="1:19" x14ac:dyDescent="0.25">
      <c r="A7090" s="1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  <c r="P7090"/>
      <c r="Q7090"/>
      <c r="R7090"/>
      <c r="S7090"/>
    </row>
    <row r="7091" spans="1:19" x14ac:dyDescent="0.25">
      <c r="A7091" s="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  <c r="P7091"/>
      <c r="Q7091"/>
      <c r="R7091"/>
      <c r="S7091"/>
    </row>
    <row r="7092" spans="1:19" x14ac:dyDescent="0.25">
      <c r="A7092" s="1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  <c r="P7092"/>
      <c r="Q7092"/>
      <c r="R7092"/>
      <c r="S7092"/>
    </row>
    <row r="7093" spans="1:19" x14ac:dyDescent="0.25">
      <c r="A7093" s="1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  <c r="P7093"/>
      <c r="Q7093"/>
      <c r="R7093"/>
      <c r="S7093"/>
    </row>
    <row r="7094" spans="1:19" x14ac:dyDescent="0.25">
      <c r="A7094" s="1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  <c r="P7094"/>
      <c r="Q7094"/>
      <c r="R7094"/>
      <c r="S7094"/>
    </row>
    <row r="7095" spans="1:19" x14ac:dyDescent="0.25">
      <c r="A7095" s="1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  <c r="P7095"/>
      <c r="Q7095"/>
      <c r="R7095"/>
      <c r="S7095"/>
    </row>
    <row r="7096" spans="1:19" x14ac:dyDescent="0.25">
      <c r="A7096" s="1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  <c r="P7096"/>
      <c r="Q7096"/>
      <c r="R7096"/>
      <c r="S7096"/>
    </row>
    <row r="7097" spans="1:19" x14ac:dyDescent="0.25">
      <c r="A7097" s="1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  <c r="P7097"/>
      <c r="Q7097"/>
      <c r="R7097"/>
      <c r="S7097"/>
    </row>
    <row r="7098" spans="1:19" x14ac:dyDescent="0.25">
      <c r="A7098" s="1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  <c r="P7098"/>
      <c r="Q7098"/>
      <c r="R7098"/>
      <c r="S7098"/>
    </row>
    <row r="7099" spans="1:19" x14ac:dyDescent="0.25">
      <c r="A7099" s="1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  <c r="P7099"/>
      <c r="Q7099"/>
      <c r="R7099"/>
      <c r="S7099"/>
    </row>
    <row r="7100" spans="1:19" x14ac:dyDescent="0.25">
      <c r="A7100" s="1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  <c r="P7100"/>
      <c r="Q7100"/>
      <c r="R7100"/>
      <c r="S7100"/>
    </row>
    <row r="7101" spans="1:19" x14ac:dyDescent="0.25">
      <c r="A7101" s="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  <c r="P7101"/>
      <c r="Q7101"/>
      <c r="R7101"/>
      <c r="S7101"/>
    </row>
    <row r="7102" spans="1:19" x14ac:dyDescent="0.25">
      <c r="A7102" s="1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  <c r="P7102"/>
      <c r="Q7102"/>
      <c r="R7102"/>
      <c r="S7102"/>
    </row>
    <row r="7103" spans="1:19" x14ac:dyDescent="0.25">
      <c r="A7103" s="1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  <c r="P7103"/>
      <c r="Q7103"/>
      <c r="R7103"/>
      <c r="S7103"/>
    </row>
    <row r="7104" spans="1:19" x14ac:dyDescent="0.25">
      <c r="A7104" s="1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  <c r="P7104"/>
      <c r="Q7104"/>
      <c r="R7104"/>
      <c r="S7104"/>
    </row>
    <row r="7105" spans="1:19" x14ac:dyDescent="0.25">
      <c r="A7105" s="1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  <c r="P7105"/>
      <c r="Q7105"/>
      <c r="R7105"/>
      <c r="S7105"/>
    </row>
    <row r="7106" spans="1:19" x14ac:dyDescent="0.25">
      <c r="A7106" s="1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  <c r="P7106"/>
      <c r="Q7106"/>
      <c r="R7106"/>
      <c r="S7106"/>
    </row>
    <row r="7107" spans="1:19" x14ac:dyDescent="0.25">
      <c r="A7107" s="1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  <c r="P7107"/>
      <c r="Q7107"/>
      <c r="R7107"/>
      <c r="S7107"/>
    </row>
    <row r="7108" spans="1:19" x14ac:dyDescent="0.25">
      <c r="A7108" s="1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  <c r="P7108"/>
      <c r="Q7108"/>
      <c r="R7108"/>
      <c r="S7108"/>
    </row>
    <row r="7109" spans="1:19" x14ac:dyDescent="0.25">
      <c r="A7109" s="1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  <c r="P7109"/>
      <c r="Q7109"/>
      <c r="R7109"/>
      <c r="S7109"/>
    </row>
    <row r="7110" spans="1:19" x14ac:dyDescent="0.25">
      <c r="A7110" s="1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  <c r="P7110"/>
      <c r="Q7110"/>
      <c r="R7110"/>
      <c r="S7110"/>
    </row>
    <row r="7111" spans="1:19" x14ac:dyDescent="0.25">
      <c r="A7111" s="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  <c r="P7111"/>
      <c r="Q7111"/>
      <c r="R7111"/>
      <c r="S7111"/>
    </row>
    <row r="7112" spans="1:19" x14ac:dyDescent="0.25">
      <c r="A7112" s="1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  <c r="P7112"/>
      <c r="Q7112"/>
      <c r="R7112"/>
      <c r="S7112"/>
    </row>
    <row r="7113" spans="1:19" x14ac:dyDescent="0.25">
      <c r="A7113" s="1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  <c r="P7113"/>
      <c r="Q7113"/>
      <c r="R7113"/>
      <c r="S7113"/>
    </row>
    <row r="7114" spans="1:19" x14ac:dyDescent="0.25">
      <c r="A7114" s="1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  <c r="P7114"/>
      <c r="Q7114"/>
      <c r="R7114"/>
      <c r="S7114"/>
    </row>
    <row r="7115" spans="1:19" x14ac:dyDescent="0.25">
      <c r="A7115" s="1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  <c r="P7115"/>
      <c r="Q7115"/>
      <c r="R7115"/>
      <c r="S7115"/>
    </row>
    <row r="7116" spans="1:19" x14ac:dyDescent="0.25">
      <c r="A7116" s="1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  <c r="P7116"/>
      <c r="Q7116"/>
      <c r="R7116"/>
      <c r="S7116"/>
    </row>
    <row r="7117" spans="1:19" x14ac:dyDescent="0.25">
      <c r="A7117" s="1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  <c r="P7117"/>
      <c r="Q7117"/>
      <c r="R7117"/>
      <c r="S7117"/>
    </row>
    <row r="7118" spans="1:19" x14ac:dyDescent="0.25">
      <c r="A7118" s="1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  <c r="P7118"/>
      <c r="Q7118"/>
      <c r="R7118"/>
      <c r="S7118"/>
    </row>
    <row r="7119" spans="1:19" x14ac:dyDescent="0.25">
      <c r="A7119" s="1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  <c r="P7119"/>
      <c r="Q7119"/>
      <c r="R7119"/>
      <c r="S7119"/>
    </row>
    <row r="7120" spans="1:19" x14ac:dyDescent="0.25">
      <c r="A7120" s="1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  <c r="P7120"/>
      <c r="Q7120"/>
      <c r="R7120"/>
      <c r="S7120"/>
    </row>
    <row r="7121" spans="1:19" x14ac:dyDescent="0.25">
      <c r="A7121" s="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  <c r="P7121"/>
      <c r="Q7121"/>
      <c r="R7121"/>
      <c r="S7121"/>
    </row>
    <row r="7122" spans="1:19" x14ac:dyDescent="0.25">
      <c r="A7122" s="1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  <c r="P7122"/>
      <c r="Q7122"/>
      <c r="R7122"/>
      <c r="S7122"/>
    </row>
    <row r="7123" spans="1:19" x14ac:dyDescent="0.25">
      <c r="A7123" s="1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  <c r="P7123"/>
      <c r="Q7123"/>
      <c r="R7123"/>
      <c r="S7123"/>
    </row>
    <row r="7124" spans="1:19" x14ac:dyDescent="0.25">
      <c r="A7124" s="1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  <c r="P7124"/>
      <c r="Q7124"/>
      <c r="R7124"/>
      <c r="S7124"/>
    </row>
    <row r="7125" spans="1:19" x14ac:dyDescent="0.25">
      <c r="A7125" s="1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  <c r="P7125"/>
      <c r="Q7125"/>
      <c r="R7125"/>
      <c r="S7125"/>
    </row>
    <row r="7126" spans="1:19" x14ac:dyDescent="0.25">
      <c r="A7126" s="1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  <c r="P7126"/>
      <c r="Q7126"/>
      <c r="R7126"/>
      <c r="S7126"/>
    </row>
    <row r="7127" spans="1:19" x14ac:dyDescent="0.25">
      <c r="A7127" s="1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  <c r="P7127"/>
      <c r="Q7127"/>
      <c r="R7127"/>
      <c r="S7127"/>
    </row>
    <row r="7128" spans="1:19" x14ac:dyDescent="0.25">
      <c r="A7128" s="1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  <c r="P7128"/>
      <c r="Q7128"/>
      <c r="R7128"/>
      <c r="S7128"/>
    </row>
    <row r="7129" spans="1:19" x14ac:dyDescent="0.25">
      <c r="A7129" s="1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  <c r="P7129"/>
      <c r="Q7129"/>
      <c r="R7129"/>
      <c r="S7129"/>
    </row>
    <row r="7130" spans="1:19" x14ac:dyDescent="0.25">
      <c r="A7130" s="1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  <c r="P7130"/>
      <c r="Q7130"/>
      <c r="R7130"/>
      <c r="S7130"/>
    </row>
    <row r="7131" spans="1:19" x14ac:dyDescent="0.25">
      <c r="A7131" s="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  <c r="P7131"/>
      <c r="Q7131"/>
      <c r="R7131"/>
      <c r="S7131"/>
    </row>
    <row r="7132" spans="1:19" x14ac:dyDescent="0.25">
      <c r="A7132" s="1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  <c r="P7132"/>
      <c r="Q7132"/>
      <c r="R7132"/>
      <c r="S7132"/>
    </row>
    <row r="7133" spans="1:19" x14ac:dyDescent="0.25">
      <c r="A7133" s="1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  <c r="P7133"/>
      <c r="Q7133"/>
      <c r="R7133"/>
      <c r="S7133"/>
    </row>
    <row r="7134" spans="1:19" x14ac:dyDescent="0.25">
      <c r="A7134" s="1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  <c r="P7134"/>
      <c r="Q7134"/>
      <c r="R7134"/>
      <c r="S7134"/>
    </row>
    <row r="7135" spans="1:19" x14ac:dyDescent="0.25">
      <c r="A7135" s="1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  <c r="P7135"/>
      <c r="Q7135"/>
      <c r="R7135"/>
      <c r="S7135"/>
    </row>
    <row r="7136" spans="1:19" x14ac:dyDescent="0.25">
      <c r="A7136" s="1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  <c r="P7136"/>
      <c r="Q7136"/>
      <c r="R7136"/>
      <c r="S7136"/>
    </row>
    <row r="7137" spans="1:19" x14ac:dyDescent="0.25">
      <c r="A7137" s="1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  <c r="P7137"/>
      <c r="Q7137"/>
      <c r="R7137"/>
      <c r="S7137"/>
    </row>
    <row r="7138" spans="1:19" x14ac:dyDescent="0.25">
      <c r="A7138" s="1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  <c r="P7138"/>
      <c r="Q7138"/>
      <c r="R7138"/>
      <c r="S7138"/>
    </row>
    <row r="7139" spans="1:19" x14ac:dyDescent="0.25">
      <c r="A7139" s="1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  <c r="P7139"/>
      <c r="Q7139"/>
      <c r="R7139"/>
      <c r="S7139"/>
    </row>
    <row r="7140" spans="1:19" x14ac:dyDescent="0.25">
      <c r="A7140" s="1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  <c r="P7140"/>
      <c r="Q7140"/>
      <c r="R7140"/>
      <c r="S7140"/>
    </row>
    <row r="7141" spans="1:19" x14ac:dyDescent="0.25">
      <c r="A7141" s="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  <c r="P7141"/>
      <c r="Q7141"/>
      <c r="R7141"/>
      <c r="S7141"/>
    </row>
    <row r="7142" spans="1:19" x14ac:dyDescent="0.25">
      <c r="A7142" s="1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  <c r="P7142"/>
      <c r="Q7142"/>
      <c r="R7142"/>
      <c r="S7142"/>
    </row>
    <row r="7143" spans="1:19" x14ac:dyDescent="0.25">
      <c r="A7143" s="1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  <c r="P7143"/>
      <c r="Q7143"/>
      <c r="R7143"/>
      <c r="S7143"/>
    </row>
    <row r="7144" spans="1:19" x14ac:dyDescent="0.25">
      <c r="A7144" s="1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  <c r="P7144"/>
      <c r="Q7144"/>
      <c r="R7144"/>
      <c r="S7144"/>
    </row>
    <row r="7145" spans="1:19" x14ac:dyDescent="0.25">
      <c r="A7145" s="1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  <c r="P7145"/>
      <c r="Q7145"/>
      <c r="R7145"/>
      <c r="S7145"/>
    </row>
    <row r="7146" spans="1:19" x14ac:dyDescent="0.25">
      <c r="A7146" s="1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  <c r="P7146"/>
      <c r="Q7146"/>
      <c r="R7146"/>
      <c r="S7146"/>
    </row>
    <row r="7147" spans="1:19" x14ac:dyDescent="0.25">
      <c r="A7147" s="1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  <c r="P7147"/>
      <c r="Q7147"/>
      <c r="R7147"/>
      <c r="S7147"/>
    </row>
    <row r="7148" spans="1:19" x14ac:dyDescent="0.25">
      <c r="A7148" s="1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  <c r="P7148"/>
      <c r="Q7148"/>
      <c r="R7148"/>
      <c r="S7148"/>
    </row>
    <row r="7149" spans="1:19" x14ac:dyDescent="0.25">
      <c r="A7149" s="1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  <c r="P7149"/>
      <c r="Q7149"/>
      <c r="R7149"/>
      <c r="S7149"/>
    </row>
    <row r="7150" spans="1:19" x14ac:dyDescent="0.25">
      <c r="A7150" s="1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  <c r="P7150"/>
      <c r="Q7150"/>
      <c r="R7150"/>
      <c r="S7150"/>
    </row>
    <row r="7151" spans="1:19" x14ac:dyDescent="0.25">
      <c r="A7151" s="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  <c r="P7151"/>
      <c r="Q7151"/>
      <c r="R7151"/>
      <c r="S7151"/>
    </row>
    <row r="7152" spans="1:19" x14ac:dyDescent="0.25">
      <c r="A7152" s="1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  <c r="P7152"/>
      <c r="Q7152"/>
      <c r="R7152"/>
      <c r="S7152"/>
    </row>
    <row r="7153" spans="1:19" x14ac:dyDescent="0.25">
      <c r="A7153" s="1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  <c r="P7153"/>
      <c r="Q7153"/>
      <c r="R7153"/>
      <c r="S7153"/>
    </row>
    <row r="7154" spans="1:19" x14ac:dyDescent="0.25">
      <c r="A7154" s="1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  <c r="P7154"/>
      <c r="Q7154"/>
      <c r="R7154"/>
      <c r="S7154"/>
    </row>
    <row r="7155" spans="1:19" x14ac:dyDescent="0.25">
      <c r="A7155" s="1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  <c r="P7155"/>
      <c r="Q7155"/>
      <c r="R7155"/>
      <c r="S7155"/>
    </row>
    <row r="7156" spans="1:19" x14ac:dyDescent="0.25">
      <c r="A7156" s="1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  <c r="P7156"/>
      <c r="Q7156"/>
      <c r="R7156"/>
      <c r="S7156"/>
    </row>
    <row r="7157" spans="1:19" x14ac:dyDescent="0.25">
      <c r="A7157" s="1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  <c r="P7157"/>
      <c r="Q7157"/>
      <c r="R7157"/>
      <c r="S7157"/>
    </row>
    <row r="7158" spans="1:19" x14ac:dyDescent="0.25">
      <c r="A7158" s="1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  <c r="P7158"/>
      <c r="Q7158"/>
      <c r="R7158"/>
      <c r="S7158"/>
    </row>
    <row r="7159" spans="1:19" x14ac:dyDescent="0.25">
      <c r="A7159" s="1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  <c r="P7159"/>
      <c r="Q7159"/>
      <c r="R7159"/>
      <c r="S7159"/>
    </row>
    <row r="7160" spans="1:19" x14ac:dyDescent="0.25">
      <c r="A7160" s="1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  <c r="P7160"/>
      <c r="Q7160"/>
      <c r="R7160"/>
      <c r="S7160"/>
    </row>
    <row r="7161" spans="1:19" x14ac:dyDescent="0.25">
      <c r="A7161" s="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  <c r="P7161"/>
      <c r="Q7161"/>
      <c r="R7161"/>
      <c r="S7161"/>
    </row>
    <row r="7162" spans="1:19" x14ac:dyDescent="0.25">
      <c r="A7162" s="1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  <c r="P7162"/>
      <c r="Q7162"/>
      <c r="R7162"/>
      <c r="S7162"/>
    </row>
    <row r="7163" spans="1:19" x14ac:dyDescent="0.25">
      <c r="A7163" s="1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  <c r="P7163"/>
      <c r="Q7163"/>
      <c r="R7163"/>
      <c r="S7163"/>
    </row>
    <row r="7164" spans="1:19" x14ac:dyDescent="0.25">
      <c r="A7164" s="1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  <c r="P7164"/>
      <c r="Q7164"/>
      <c r="R7164"/>
      <c r="S7164"/>
    </row>
    <row r="7165" spans="1:19" x14ac:dyDescent="0.25">
      <c r="A7165" s="1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  <c r="P7165"/>
      <c r="Q7165"/>
      <c r="R7165"/>
      <c r="S7165"/>
    </row>
    <row r="7166" spans="1:19" x14ac:dyDescent="0.25">
      <c r="A7166" s="1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  <c r="P7166"/>
      <c r="Q7166"/>
      <c r="R7166"/>
      <c r="S7166"/>
    </row>
    <row r="7167" spans="1:19" x14ac:dyDescent="0.25">
      <c r="A7167" s="1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  <c r="P7167"/>
      <c r="Q7167"/>
      <c r="R7167"/>
      <c r="S7167"/>
    </row>
    <row r="7168" spans="1:19" x14ac:dyDescent="0.25">
      <c r="A7168" s="1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  <c r="P7168"/>
      <c r="Q7168"/>
      <c r="R7168"/>
      <c r="S7168"/>
    </row>
    <row r="7169" spans="1:19" x14ac:dyDescent="0.25">
      <c r="A7169" s="1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  <c r="P7169"/>
      <c r="Q7169"/>
      <c r="R7169"/>
      <c r="S7169"/>
    </row>
    <row r="7170" spans="1:19" x14ac:dyDescent="0.25">
      <c r="A7170" s="1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  <c r="P7170"/>
      <c r="Q7170"/>
      <c r="R7170"/>
      <c r="S7170"/>
    </row>
    <row r="7171" spans="1:19" x14ac:dyDescent="0.25">
      <c r="A7171" s="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  <c r="P7171"/>
      <c r="Q7171"/>
      <c r="R7171"/>
      <c r="S7171"/>
    </row>
    <row r="7172" spans="1:19" x14ac:dyDescent="0.25">
      <c r="A7172" s="1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  <c r="P7172"/>
      <c r="Q7172"/>
      <c r="R7172"/>
      <c r="S7172"/>
    </row>
    <row r="7173" spans="1:19" x14ac:dyDescent="0.25">
      <c r="A7173" s="1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  <c r="P7173"/>
      <c r="Q7173"/>
      <c r="R7173"/>
      <c r="S7173"/>
    </row>
    <row r="7174" spans="1:19" x14ac:dyDescent="0.25">
      <c r="A7174" s="1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  <c r="P7174"/>
      <c r="Q7174"/>
      <c r="R7174"/>
      <c r="S7174"/>
    </row>
    <row r="7175" spans="1:19" x14ac:dyDescent="0.25">
      <c r="A7175" s="1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  <c r="P7175"/>
      <c r="Q7175"/>
      <c r="R7175"/>
      <c r="S7175"/>
    </row>
    <row r="7176" spans="1:19" x14ac:dyDescent="0.25">
      <c r="A7176" s="1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  <c r="P7176"/>
      <c r="Q7176"/>
      <c r="R7176"/>
      <c r="S7176"/>
    </row>
    <row r="7177" spans="1:19" x14ac:dyDescent="0.25">
      <c r="A7177" s="1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  <c r="P7177"/>
      <c r="Q7177"/>
      <c r="R7177"/>
      <c r="S7177"/>
    </row>
    <row r="7178" spans="1:19" x14ac:dyDescent="0.25">
      <c r="A7178" s="1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  <c r="P7178"/>
      <c r="Q7178"/>
      <c r="R7178"/>
      <c r="S7178"/>
    </row>
    <row r="7179" spans="1:19" x14ac:dyDescent="0.25">
      <c r="A7179" s="1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  <c r="P7179"/>
      <c r="Q7179"/>
      <c r="R7179"/>
      <c r="S7179"/>
    </row>
    <row r="7180" spans="1:19" x14ac:dyDescent="0.25">
      <c r="A7180" s="1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  <c r="P7180"/>
      <c r="Q7180"/>
      <c r="R7180"/>
      <c r="S7180"/>
    </row>
    <row r="7181" spans="1:19" x14ac:dyDescent="0.25">
      <c r="A7181" s="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  <c r="P7181"/>
      <c r="Q7181"/>
      <c r="R7181"/>
      <c r="S7181"/>
    </row>
    <row r="7182" spans="1:19" x14ac:dyDescent="0.25">
      <c r="A7182" s="1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  <c r="P7182"/>
      <c r="Q7182"/>
      <c r="R7182"/>
      <c r="S7182"/>
    </row>
    <row r="7183" spans="1:19" x14ac:dyDescent="0.25">
      <c r="A7183" s="1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  <c r="P7183"/>
      <c r="Q7183"/>
      <c r="R7183"/>
      <c r="S7183"/>
    </row>
    <row r="7184" spans="1:19" x14ac:dyDescent="0.25">
      <c r="A7184" s="1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  <c r="P7184"/>
      <c r="Q7184"/>
      <c r="R7184"/>
      <c r="S7184"/>
    </row>
    <row r="7185" spans="1:19" x14ac:dyDescent="0.25">
      <c r="A7185" s="1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  <c r="P7185"/>
      <c r="Q7185"/>
      <c r="R7185"/>
      <c r="S7185"/>
    </row>
    <row r="7186" spans="1:19" x14ac:dyDescent="0.25">
      <c r="A7186" s="1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  <c r="P7186"/>
      <c r="Q7186"/>
      <c r="R7186"/>
      <c r="S7186"/>
    </row>
    <row r="7187" spans="1:19" x14ac:dyDescent="0.25">
      <c r="A7187" s="1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  <c r="P7187"/>
      <c r="Q7187"/>
      <c r="R7187"/>
      <c r="S7187"/>
    </row>
    <row r="7188" spans="1:19" x14ac:dyDescent="0.25">
      <c r="A7188" s="1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  <c r="P7188"/>
      <c r="Q7188"/>
      <c r="R7188"/>
      <c r="S7188"/>
    </row>
    <row r="7189" spans="1:19" x14ac:dyDescent="0.25">
      <c r="A7189" s="1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  <c r="P7189"/>
      <c r="Q7189"/>
      <c r="R7189"/>
      <c r="S7189"/>
    </row>
    <row r="7190" spans="1:19" x14ac:dyDescent="0.25">
      <c r="A7190" s="1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  <c r="P7190"/>
      <c r="Q7190"/>
      <c r="R7190"/>
      <c r="S7190"/>
    </row>
    <row r="7191" spans="1:19" x14ac:dyDescent="0.25">
      <c r="A7191" s="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  <c r="P7191"/>
      <c r="Q7191"/>
      <c r="R7191"/>
      <c r="S7191"/>
    </row>
    <row r="7192" spans="1:19" x14ac:dyDescent="0.25">
      <c r="A7192" s="1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  <c r="P7192"/>
      <c r="Q7192"/>
      <c r="R7192"/>
      <c r="S7192"/>
    </row>
    <row r="7193" spans="1:19" x14ac:dyDescent="0.25">
      <c r="A7193" s="1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  <c r="P7193"/>
      <c r="Q7193"/>
      <c r="R7193"/>
      <c r="S7193"/>
    </row>
    <row r="7194" spans="1:19" x14ac:dyDescent="0.25">
      <c r="A7194" s="1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  <c r="P7194"/>
      <c r="Q7194"/>
      <c r="R7194"/>
      <c r="S7194"/>
    </row>
    <row r="7195" spans="1:19" x14ac:dyDescent="0.25">
      <c r="A7195" s="1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  <c r="P7195"/>
      <c r="Q7195"/>
      <c r="R7195"/>
      <c r="S7195"/>
    </row>
    <row r="7196" spans="1:19" x14ac:dyDescent="0.25">
      <c r="A7196" s="1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  <c r="P7196"/>
      <c r="Q7196"/>
      <c r="R7196"/>
      <c r="S7196"/>
    </row>
    <row r="7197" spans="1:19" x14ac:dyDescent="0.25">
      <c r="A7197" s="1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  <c r="P7197"/>
      <c r="Q7197"/>
      <c r="R7197"/>
      <c r="S7197"/>
    </row>
    <row r="7198" spans="1:19" x14ac:dyDescent="0.25">
      <c r="A7198" s="1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  <c r="P7198"/>
      <c r="Q7198"/>
      <c r="R7198"/>
      <c r="S7198"/>
    </row>
    <row r="7199" spans="1:19" x14ac:dyDescent="0.25">
      <c r="A7199" s="1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  <c r="P7199"/>
      <c r="Q7199"/>
      <c r="R7199"/>
      <c r="S7199"/>
    </row>
    <row r="7200" spans="1:19" x14ac:dyDescent="0.25">
      <c r="A7200" s="1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  <c r="P7200"/>
      <c r="Q7200"/>
      <c r="R7200"/>
      <c r="S7200"/>
    </row>
    <row r="7201" spans="1:19" x14ac:dyDescent="0.25">
      <c r="A7201" s="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  <c r="P7201"/>
      <c r="Q7201"/>
      <c r="R7201"/>
      <c r="S7201"/>
    </row>
    <row r="7202" spans="1:19" x14ac:dyDescent="0.25">
      <c r="A7202" s="1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  <c r="P7202"/>
      <c r="Q7202"/>
      <c r="R7202"/>
      <c r="S7202"/>
    </row>
    <row r="7203" spans="1:19" x14ac:dyDescent="0.25">
      <c r="A7203" s="1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  <c r="P7203"/>
      <c r="Q7203"/>
      <c r="R7203"/>
      <c r="S7203"/>
    </row>
    <row r="7204" spans="1:19" x14ac:dyDescent="0.25">
      <c r="A7204" s="1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  <c r="P7204"/>
      <c r="Q7204"/>
      <c r="R7204"/>
      <c r="S7204"/>
    </row>
    <row r="7205" spans="1:19" x14ac:dyDescent="0.25">
      <c r="A7205" s="1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  <c r="P7205"/>
      <c r="Q7205"/>
      <c r="R7205"/>
      <c r="S7205"/>
    </row>
    <row r="7206" spans="1:19" x14ac:dyDescent="0.25">
      <c r="A7206" s="1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  <c r="P7206"/>
      <c r="Q7206"/>
      <c r="R7206"/>
      <c r="S7206"/>
    </row>
    <row r="7207" spans="1:19" x14ac:dyDescent="0.25">
      <c r="A7207" s="1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  <c r="P7207"/>
      <c r="Q7207"/>
      <c r="R7207"/>
      <c r="S7207"/>
    </row>
    <row r="7208" spans="1:19" x14ac:dyDescent="0.25">
      <c r="A7208" s="1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  <c r="P7208"/>
      <c r="Q7208"/>
      <c r="R7208"/>
      <c r="S7208"/>
    </row>
    <row r="7209" spans="1:19" x14ac:dyDescent="0.25">
      <c r="A7209" s="1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  <c r="P7209"/>
      <c r="Q7209"/>
      <c r="R7209"/>
      <c r="S7209"/>
    </row>
    <row r="7210" spans="1:19" x14ac:dyDescent="0.25">
      <c r="A7210" s="1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  <c r="P7210"/>
      <c r="Q7210"/>
      <c r="R7210"/>
      <c r="S7210"/>
    </row>
    <row r="7211" spans="1:19" x14ac:dyDescent="0.25">
      <c r="A7211" s="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  <c r="P7211"/>
      <c r="Q7211"/>
      <c r="R7211"/>
      <c r="S7211"/>
    </row>
    <row r="7212" spans="1:19" x14ac:dyDescent="0.25">
      <c r="A7212" s="1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  <c r="P7212"/>
      <c r="Q7212"/>
      <c r="R7212"/>
      <c r="S7212"/>
    </row>
    <row r="7213" spans="1:19" x14ac:dyDescent="0.25">
      <c r="A7213" s="1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  <c r="P7213"/>
      <c r="Q7213"/>
      <c r="R7213"/>
      <c r="S7213"/>
    </row>
    <row r="7214" spans="1:19" x14ac:dyDescent="0.25">
      <c r="A7214" s="1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  <c r="P7214"/>
      <c r="Q7214"/>
      <c r="R7214"/>
      <c r="S7214"/>
    </row>
    <row r="7215" spans="1:19" x14ac:dyDescent="0.25">
      <c r="A7215" s="1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  <c r="P7215"/>
      <c r="Q7215"/>
      <c r="R7215"/>
      <c r="S7215"/>
    </row>
    <row r="7216" spans="1:19" x14ac:dyDescent="0.25">
      <c r="A7216" s="1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  <c r="P7216"/>
      <c r="Q7216"/>
      <c r="R7216"/>
      <c r="S7216"/>
    </row>
    <row r="7217" spans="1:19" x14ac:dyDescent="0.25">
      <c r="A7217" s="1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  <c r="P7217"/>
      <c r="Q7217"/>
      <c r="R7217"/>
      <c r="S7217"/>
    </row>
    <row r="7218" spans="1:19" x14ac:dyDescent="0.25">
      <c r="A7218" s="1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  <c r="P7218"/>
      <c r="Q7218"/>
      <c r="R7218"/>
      <c r="S7218"/>
    </row>
    <row r="7219" spans="1:19" x14ac:dyDescent="0.25">
      <c r="A7219" s="1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  <c r="P7219"/>
      <c r="Q7219"/>
      <c r="R7219"/>
      <c r="S7219"/>
    </row>
    <row r="7220" spans="1:19" x14ac:dyDescent="0.25">
      <c r="A7220" s="1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  <c r="P7220"/>
      <c r="Q7220"/>
      <c r="R7220"/>
      <c r="S7220"/>
    </row>
    <row r="7221" spans="1:19" x14ac:dyDescent="0.25">
      <c r="A7221" s="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  <c r="P7221"/>
      <c r="Q7221"/>
      <c r="R7221"/>
      <c r="S7221"/>
    </row>
    <row r="7222" spans="1:19" x14ac:dyDescent="0.25">
      <c r="A7222" s="1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  <c r="P7222"/>
      <c r="Q7222"/>
      <c r="R7222"/>
      <c r="S7222"/>
    </row>
    <row r="7223" spans="1:19" x14ac:dyDescent="0.25">
      <c r="A7223" s="1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  <c r="P7223"/>
      <c r="Q7223"/>
      <c r="R7223"/>
      <c r="S7223"/>
    </row>
    <row r="7224" spans="1:19" x14ac:dyDescent="0.25">
      <c r="A7224" s="1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  <c r="P7224"/>
      <c r="Q7224"/>
      <c r="R7224"/>
      <c r="S7224"/>
    </row>
    <row r="7225" spans="1:19" x14ac:dyDescent="0.25">
      <c r="A7225" s="1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  <c r="P7225"/>
      <c r="Q7225"/>
      <c r="R7225"/>
      <c r="S7225"/>
    </row>
    <row r="7226" spans="1:19" x14ac:dyDescent="0.25">
      <c r="A7226" s="1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  <c r="P7226"/>
      <c r="Q7226"/>
      <c r="R7226"/>
      <c r="S7226"/>
    </row>
    <row r="7227" spans="1:19" x14ac:dyDescent="0.25">
      <c r="A7227" s="1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  <c r="P7227"/>
      <c r="Q7227"/>
      <c r="R7227"/>
      <c r="S7227"/>
    </row>
    <row r="7228" spans="1:19" x14ac:dyDescent="0.25">
      <c r="A7228" s="1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  <c r="P7228"/>
      <c r="Q7228"/>
      <c r="R7228"/>
      <c r="S7228"/>
    </row>
    <row r="7229" spans="1:19" x14ac:dyDescent="0.25">
      <c r="A7229" s="1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  <c r="P7229"/>
      <c r="Q7229"/>
      <c r="R7229"/>
      <c r="S7229"/>
    </row>
    <row r="7230" spans="1:19" x14ac:dyDescent="0.25">
      <c r="A7230" s="1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  <c r="P7230"/>
      <c r="Q7230"/>
      <c r="R7230"/>
      <c r="S7230"/>
    </row>
    <row r="7231" spans="1:19" x14ac:dyDescent="0.25">
      <c r="A7231" s="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  <c r="P7231"/>
      <c r="Q7231"/>
      <c r="R7231"/>
      <c r="S7231"/>
    </row>
    <row r="7232" spans="1:19" x14ac:dyDescent="0.25">
      <c r="A7232" s="1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  <c r="P7232"/>
      <c r="Q7232"/>
      <c r="R7232"/>
      <c r="S7232"/>
    </row>
    <row r="7233" spans="1:19" x14ac:dyDescent="0.25">
      <c r="A7233" s="1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  <c r="P7233"/>
      <c r="Q7233"/>
      <c r="R7233"/>
      <c r="S7233"/>
    </row>
    <row r="7234" spans="1:19" x14ac:dyDescent="0.25">
      <c r="A7234" s="1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  <c r="P7234"/>
      <c r="Q7234"/>
      <c r="R7234"/>
      <c r="S7234"/>
    </row>
    <row r="7235" spans="1:19" x14ac:dyDescent="0.25">
      <c r="A7235" s="1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  <c r="P7235"/>
      <c r="Q7235"/>
      <c r="R7235"/>
      <c r="S7235"/>
    </row>
    <row r="7236" spans="1:19" x14ac:dyDescent="0.25">
      <c r="A7236" s="1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  <c r="P7236"/>
      <c r="Q7236"/>
      <c r="R7236"/>
      <c r="S7236"/>
    </row>
    <row r="7237" spans="1:19" x14ac:dyDescent="0.25">
      <c r="A7237" s="1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  <c r="P7237"/>
      <c r="Q7237"/>
      <c r="R7237"/>
      <c r="S7237"/>
    </row>
    <row r="7238" spans="1:19" x14ac:dyDescent="0.25">
      <c r="A7238" s="1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  <c r="P7238"/>
      <c r="Q7238"/>
      <c r="R7238"/>
      <c r="S7238"/>
    </row>
    <row r="7239" spans="1:19" x14ac:dyDescent="0.25">
      <c r="A7239" s="1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  <c r="P7239"/>
      <c r="Q7239"/>
      <c r="R7239"/>
      <c r="S7239"/>
    </row>
    <row r="7240" spans="1:19" x14ac:dyDescent="0.25">
      <c r="A7240" s="1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  <c r="P7240"/>
      <c r="Q7240"/>
      <c r="R7240"/>
      <c r="S7240"/>
    </row>
    <row r="7241" spans="1:19" x14ac:dyDescent="0.25">
      <c r="A7241" s="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  <c r="P7241"/>
      <c r="Q7241"/>
      <c r="R7241"/>
      <c r="S7241"/>
    </row>
    <row r="7242" spans="1:19" x14ac:dyDescent="0.25">
      <c r="A7242" s="1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  <c r="P7242"/>
      <c r="Q7242"/>
      <c r="R7242"/>
      <c r="S7242"/>
    </row>
    <row r="7243" spans="1:19" x14ac:dyDescent="0.25">
      <c r="A7243" s="1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  <c r="P7243"/>
      <c r="Q7243"/>
      <c r="R7243"/>
      <c r="S7243"/>
    </row>
    <row r="7244" spans="1:19" x14ac:dyDescent="0.25">
      <c r="A7244" s="1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  <c r="P7244"/>
      <c r="Q7244"/>
      <c r="R7244"/>
      <c r="S7244"/>
    </row>
    <row r="7245" spans="1:19" x14ac:dyDescent="0.25">
      <c r="A7245" s="1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  <c r="P7245"/>
      <c r="Q7245"/>
      <c r="R7245"/>
      <c r="S7245"/>
    </row>
    <row r="7246" spans="1:19" x14ac:dyDescent="0.25">
      <c r="A7246" s="1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  <c r="P7246"/>
      <c r="Q7246"/>
      <c r="R7246"/>
      <c r="S7246"/>
    </row>
    <row r="7247" spans="1:19" x14ac:dyDescent="0.25">
      <c r="A7247" s="1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  <c r="P7247"/>
      <c r="Q7247"/>
      <c r="R7247"/>
      <c r="S7247"/>
    </row>
    <row r="7248" spans="1:19" x14ac:dyDescent="0.25">
      <c r="A7248" s="1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  <c r="P7248"/>
      <c r="Q7248"/>
      <c r="R7248"/>
      <c r="S7248"/>
    </row>
    <row r="7249" spans="1:19" x14ac:dyDescent="0.25">
      <c r="A7249" s="1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  <c r="P7249"/>
      <c r="Q7249"/>
      <c r="R7249"/>
      <c r="S7249"/>
    </row>
    <row r="7250" spans="1:19" x14ac:dyDescent="0.25">
      <c r="A7250" s="1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  <c r="P7250"/>
      <c r="Q7250"/>
      <c r="R7250"/>
      <c r="S7250"/>
    </row>
    <row r="7251" spans="1:19" x14ac:dyDescent="0.25">
      <c r="A7251" s="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  <c r="P7251"/>
      <c r="Q7251"/>
      <c r="R7251"/>
      <c r="S7251"/>
    </row>
    <row r="7252" spans="1:19" x14ac:dyDescent="0.25">
      <c r="A7252" s="1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  <c r="P7252"/>
      <c r="Q7252"/>
      <c r="R7252"/>
      <c r="S7252"/>
    </row>
    <row r="7253" spans="1:19" x14ac:dyDescent="0.25">
      <c r="A7253" s="1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  <c r="P7253"/>
      <c r="Q7253"/>
      <c r="R7253"/>
      <c r="S7253"/>
    </row>
    <row r="7254" spans="1:19" x14ac:dyDescent="0.25">
      <c r="A7254" s="1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  <c r="P7254"/>
      <c r="Q7254"/>
      <c r="R7254"/>
      <c r="S7254"/>
    </row>
    <row r="7255" spans="1:19" x14ac:dyDescent="0.25">
      <c r="A7255" s="1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  <c r="P7255"/>
      <c r="Q7255"/>
      <c r="R7255"/>
      <c r="S7255"/>
    </row>
    <row r="7256" spans="1:19" x14ac:dyDescent="0.25">
      <c r="A7256" s="1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  <c r="P7256"/>
      <c r="Q7256"/>
      <c r="R7256"/>
      <c r="S7256"/>
    </row>
    <row r="7257" spans="1:19" x14ac:dyDescent="0.25">
      <c r="A7257" s="1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  <c r="P7257"/>
      <c r="Q7257"/>
      <c r="R7257"/>
      <c r="S7257"/>
    </row>
    <row r="7258" spans="1:19" x14ac:dyDescent="0.25">
      <c r="A7258" s="1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  <c r="P7258"/>
      <c r="Q7258"/>
      <c r="R7258"/>
      <c r="S7258"/>
    </row>
    <row r="7259" spans="1:19" x14ac:dyDescent="0.25">
      <c r="A7259" s="1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  <c r="P7259"/>
      <c r="Q7259"/>
      <c r="R7259"/>
      <c r="S7259"/>
    </row>
    <row r="7260" spans="1:19" x14ac:dyDescent="0.25">
      <c r="A7260" s="1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  <c r="P7260"/>
      <c r="Q7260"/>
      <c r="R7260"/>
      <c r="S7260"/>
    </row>
    <row r="7261" spans="1:19" x14ac:dyDescent="0.25">
      <c r="A7261" s="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  <c r="P7261"/>
      <c r="Q7261"/>
      <c r="R7261"/>
      <c r="S7261"/>
    </row>
    <row r="7262" spans="1:19" x14ac:dyDescent="0.25">
      <c r="A7262" s="1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  <c r="P7262"/>
      <c r="Q7262"/>
      <c r="R7262"/>
      <c r="S7262"/>
    </row>
    <row r="7263" spans="1:19" x14ac:dyDescent="0.25">
      <c r="A7263" s="1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  <c r="P7263"/>
      <c r="Q7263"/>
      <c r="R7263"/>
      <c r="S7263"/>
    </row>
    <row r="7264" spans="1:19" x14ac:dyDescent="0.25">
      <c r="A7264" s="1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  <c r="P7264"/>
      <c r="Q7264"/>
      <c r="R7264"/>
      <c r="S7264"/>
    </row>
    <row r="7265" spans="1:19" x14ac:dyDescent="0.25">
      <c r="A7265" s="1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  <c r="P7265"/>
      <c r="Q7265"/>
      <c r="R7265"/>
      <c r="S7265"/>
    </row>
    <row r="7266" spans="1:19" x14ac:dyDescent="0.25">
      <c r="A7266" s="1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  <c r="P7266"/>
      <c r="Q7266"/>
      <c r="R7266"/>
      <c r="S7266"/>
    </row>
    <row r="7267" spans="1:19" x14ac:dyDescent="0.25">
      <c r="A7267" s="1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  <c r="P7267"/>
      <c r="Q7267"/>
      <c r="R7267"/>
      <c r="S7267"/>
    </row>
    <row r="7268" spans="1:19" x14ac:dyDescent="0.25">
      <c r="A7268" s="1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  <c r="P7268"/>
      <c r="Q7268"/>
      <c r="R7268"/>
      <c r="S7268"/>
    </row>
    <row r="7269" spans="1:19" x14ac:dyDescent="0.25">
      <c r="A7269" s="1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  <c r="P7269"/>
      <c r="Q7269"/>
      <c r="R7269"/>
      <c r="S7269"/>
    </row>
    <row r="7270" spans="1:19" x14ac:dyDescent="0.25">
      <c r="A7270" s="1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  <c r="P7270"/>
      <c r="Q7270"/>
      <c r="R7270"/>
      <c r="S7270"/>
    </row>
    <row r="7271" spans="1:19" x14ac:dyDescent="0.25">
      <c r="A7271" s="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  <c r="P7271"/>
      <c r="Q7271"/>
      <c r="R7271"/>
      <c r="S7271"/>
    </row>
    <row r="7272" spans="1:19" x14ac:dyDescent="0.25">
      <c r="A7272" s="1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  <c r="P7272"/>
      <c r="Q7272"/>
      <c r="R7272"/>
      <c r="S7272"/>
    </row>
    <row r="7273" spans="1:19" x14ac:dyDescent="0.25">
      <c r="A7273" s="1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  <c r="P7273"/>
      <c r="Q7273"/>
      <c r="R7273"/>
      <c r="S7273"/>
    </row>
    <row r="7274" spans="1:19" x14ac:dyDescent="0.25">
      <c r="A7274" s="1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  <c r="P7274"/>
      <c r="Q7274"/>
      <c r="R7274"/>
      <c r="S7274"/>
    </row>
    <row r="7275" spans="1:19" x14ac:dyDescent="0.25">
      <c r="A7275" s="1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  <c r="P7275"/>
      <c r="Q7275"/>
      <c r="R7275"/>
      <c r="S7275"/>
    </row>
    <row r="7276" spans="1:19" x14ac:dyDescent="0.25">
      <c r="A7276" s="1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  <c r="P7276"/>
      <c r="Q7276"/>
      <c r="R7276"/>
      <c r="S7276"/>
    </row>
    <row r="7277" spans="1:19" x14ac:dyDescent="0.25">
      <c r="A7277" s="1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  <c r="P7277"/>
      <c r="Q7277"/>
      <c r="R7277"/>
      <c r="S7277"/>
    </row>
    <row r="7278" spans="1:19" x14ac:dyDescent="0.25">
      <c r="A7278" s="1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  <c r="P7278"/>
      <c r="Q7278"/>
      <c r="R7278"/>
      <c r="S7278"/>
    </row>
    <row r="7279" spans="1:19" x14ac:dyDescent="0.25">
      <c r="A7279" s="1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  <c r="P7279"/>
      <c r="Q7279"/>
      <c r="R7279"/>
      <c r="S7279"/>
    </row>
    <row r="7280" spans="1:19" x14ac:dyDescent="0.25">
      <c r="A7280" s="1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  <c r="P7280"/>
      <c r="Q7280"/>
      <c r="R7280"/>
      <c r="S7280"/>
    </row>
    <row r="7281" spans="1:19" x14ac:dyDescent="0.25">
      <c r="A7281" s="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  <c r="P7281"/>
      <c r="Q7281"/>
      <c r="R7281"/>
      <c r="S7281"/>
    </row>
    <row r="7282" spans="1:19" x14ac:dyDescent="0.25">
      <c r="A7282" s="1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  <c r="P7282"/>
      <c r="Q7282"/>
      <c r="R7282"/>
      <c r="S7282"/>
    </row>
    <row r="7283" spans="1:19" x14ac:dyDescent="0.25">
      <c r="A7283" s="1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  <c r="P7283"/>
      <c r="Q7283"/>
      <c r="R7283"/>
      <c r="S7283"/>
    </row>
    <row r="7284" spans="1:19" x14ac:dyDescent="0.25">
      <c r="A7284" s="1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  <c r="P7284"/>
      <c r="Q7284"/>
      <c r="R7284"/>
      <c r="S7284"/>
    </row>
    <row r="7285" spans="1:19" x14ac:dyDescent="0.25">
      <c r="A7285" s="1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  <c r="P7285"/>
      <c r="Q7285"/>
      <c r="R7285"/>
      <c r="S7285"/>
    </row>
    <row r="7286" spans="1:19" x14ac:dyDescent="0.25">
      <c r="A7286" s="1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  <c r="P7286"/>
      <c r="Q7286"/>
      <c r="R7286"/>
      <c r="S7286"/>
    </row>
    <row r="7287" spans="1:19" x14ac:dyDescent="0.25">
      <c r="A7287" s="1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  <c r="P7287"/>
      <c r="Q7287"/>
      <c r="R7287"/>
      <c r="S7287"/>
    </row>
    <row r="7288" spans="1:19" x14ac:dyDescent="0.25">
      <c r="A7288" s="1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  <c r="P7288"/>
      <c r="Q7288"/>
      <c r="R7288"/>
      <c r="S7288"/>
    </row>
    <row r="7289" spans="1:19" x14ac:dyDescent="0.25">
      <c r="A7289" s="1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  <c r="P7289"/>
      <c r="Q7289"/>
      <c r="R7289"/>
      <c r="S7289"/>
    </row>
    <row r="7290" spans="1:19" x14ac:dyDescent="0.25">
      <c r="A7290" s="1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  <c r="P7290"/>
      <c r="Q7290"/>
      <c r="R7290"/>
      <c r="S7290"/>
    </row>
    <row r="7291" spans="1:19" x14ac:dyDescent="0.25">
      <c r="A7291" s="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  <c r="P7291"/>
      <c r="Q7291"/>
      <c r="R7291"/>
      <c r="S7291"/>
    </row>
    <row r="7292" spans="1:19" x14ac:dyDescent="0.25">
      <c r="A7292" s="1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  <c r="P7292"/>
      <c r="Q7292"/>
      <c r="R7292"/>
      <c r="S7292"/>
    </row>
    <row r="7293" spans="1:19" x14ac:dyDescent="0.25">
      <c r="A7293" s="1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  <c r="P7293"/>
      <c r="Q7293"/>
      <c r="R7293"/>
      <c r="S7293"/>
    </row>
    <row r="7294" spans="1:19" x14ac:dyDescent="0.25">
      <c r="A7294" s="1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  <c r="P7294"/>
      <c r="Q7294"/>
      <c r="R7294"/>
      <c r="S7294"/>
    </row>
    <row r="7295" spans="1:19" x14ac:dyDescent="0.25">
      <c r="A7295" s="1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  <c r="P7295"/>
      <c r="Q7295"/>
      <c r="R7295"/>
      <c r="S7295"/>
    </row>
    <row r="7296" spans="1:19" x14ac:dyDescent="0.25">
      <c r="A7296" s="1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  <c r="P7296"/>
      <c r="Q7296"/>
      <c r="R7296"/>
      <c r="S7296"/>
    </row>
    <row r="7297" spans="1:19" x14ac:dyDescent="0.25">
      <c r="A7297" s="1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  <c r="P7297"/>
      <c r="Q7297"/>
      <c r="R7297"/>
      <c r="S7297"/>
    </row>
    <row r="7298" spans="1:19" x14ac:dyDescent="0.25">
      <c r="A7298" s="1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  <c r="P7298"/>
      <c r="Q7298"/>
      <c r="R7298"/>
      <c r="S7298"/>
    </row>
    <row r="7299" spans="1:19" x14ac:dyDescent="0.25">
      <c r="A7299" s="1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  <c r="P7299"/>
      <c r="Q7299"/>
      <c r="R7299"/>
      <c r="S7299"/>
    </row>
    <row r="7300" spans="1:19" x14ac:dyDescent="0.25">
      <c r="A7300" s="1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  <c r="P7300"/>
      <c r="Q7300"/>
      <c r="R7300"/>
      <c r="S7300"/>
    </row>
    <row r="7301" spans="1:19" x14ac:dyDescent="0.25">
      <c r="A7301" s="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  <c r="P7301"/>
      <c r="Q7301"/>
      <c r="R7301"/>
      <c r="S7301"/>
    </row>
    <row r="7302" spans="1:19" x14ac:dyDescent="0.25">
      <c r="A7302" s="1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  <c r="P7302"/>
      <c r="Q7302"/>
      <c r="R7302"/>
      <c r="S7302"/>
    </row>
    <row r="7303" spans="1:19" x14ac:dyDescent="0.25">
      <c r="A7303" s="1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  <c r="P7303"/>
      <c r="Q7303"/>
      <c r="R7303"/>
      <c r="S7303"/>
    </row>
    <row r="7304" spans="1:19" x14ac:dyDescent="0.25">
      <c r="A7304" s="1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  <c r="P7304"/>
      <c r="Q7304"/>
      <c r="R7304"/>
      <c r="S7304"/>
    </row>
    <row r="7305" spans="1:19" x14ac:dyDescent="0.25">
      <c r="A7305" s="1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  <c r="P7305"/>
      <c r="Q7305"/>
      <c r="R7305"/>
      <c r="S7305"/>
    </row>
    <row r="7306" spans="1:19" x14ac:dyDescent="0.25">
      <c r="A7306" s="1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  <c r="P7306"/>
      <c r="Q7306"/>
      <c r="R7306"/>
      <c r="S7306"/>
    </row>
    <row r="7307" spans="1:19" x14ac:dyDescent="0.25">
      <c r="A7307" s="1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  <c r="P7307"/>
      <c r="Q7307"/>
      <c r="R7307"/>
      <c r="S7307"/>
    </row>
    <row r="7308" spans="1:19" x14ac:dyDescent="0.25">
      <c r="A7308" s="1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  <c r="P7308"/>
      <c r="Q7308"/>
      <c r="R7308"/>
      <c r="S7308"/>
    </row>
    <row r="7309" spans="1:19" x14ac:dyDescent="0.25">
      <c r="A7309" s="1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  <c r="P7309"/>
      <c r="Q7309"/>
      <c r="R7309"/>
      <c r="S7309"/>
    </row>
    <row r="7310" spans="1:19" x14ac:dyDescent="0.25">
      <c r="A7310" s="1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  <c r="P7310"/>
      <c r="Q7310"/>
      <c r="R7310"/>
      <c r="S7310"/>
    </row>
    <row r="7311" spans="1:19" x14ac:dyDescent="0.25">
      <c r="A7311" s="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  <c r="P7311"/>
      <c r="Q7311"/>
      <c r="R7311"/>
      <c r="S7311"/>
    </row>
    <row r="7312" spans="1:19" x14ac:dyDescent="0.25">
      <c r="A7312" s="1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  <c r="P7312"/>
      <c r="Q7312"/>
      <c r="R7312"/>
      <c r="S7312"/>
    </row>
    <row r="7313" spans="1:19" x14ac:dyDescent="0.25">
      <c r="A7313" s="1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  <c r="P7313"/>
      <c r="Q7313"/>
      <c r="R7313"/>
      <c r="S7313"/>
    </row>
    <row r="7314" spans="1:19" x14ac:dyDescent="0.25">
      <c r="A7314" s="1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  <c r="P7314"/>
      <c r="Q7314"/>
      <c r="R7314"/>
      <c r="S7314"/>
    </row>
    <row r="7315" spans="1:19" x14ac:dyDescent="0.25">
      <c r="A7315" s="1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  <c r="P7315"/>
      <c r="Q7315"/>
      <c r="R7315"/>
      <c r="S7315"/>
    </row>
    <row r="7316" spans="1:19" x14ac:dyDescent="0.25">
      <c r="A7316" s="1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  <c r="P7316"/>
      <c r="Q7316"/>
      <c r="R7316"/>
      <c r="S7316"/>
    </row>
    <row r="7317" spans="1:19" x14ac:dyDescent="0.25">
      <c r="A7317" s="1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  <c r="P7317"/>
      <c r="Q7317"/>
      <c r="R7317"/>
      <c r="S7317"/>
    </row>
    <row r="7318" spans="1:19" x14ac:dyDescent="0.25">
      <c r="A7318" s="1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  <c r="P7318"/>
      <c r="Q7318"/>
      <c r="R7318"/>
      <c r="S7318"/>
    </row>
    <row r="7319" spans="1:19" x14ac:dyDescent="0.25">
      <c r="A7319" s="1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  <c r="P7319"/>
      <c r="Q7319"/>
      <c r="R7319"/>
      <c r="S7319"/>
    </row>
    <row r="7320" spans="1:19" x14ac:dyDescent="0.25">
      <c r="A7320" s="1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  <c r="P7320"/>
      <c r="Q7320"/>
      <c r="R7320"/>
      <c r="S7320"/>
    </row>
    <row r="7321" spans="1:19" x14ac:dyDescent="0.25">
      <c r="A7321" s="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  <c r="P7321"/>
      <c r="Q7321"/>
      <c r="R7321"/>
      <c r="S7321"/>
    </row>
    <row r="7322" spans="1:19" x14ac:dyDescent="0.25">
      <c r="A7322" s="1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  <c r="P7322"/>
      <c r="Q7322"/>
      <c r="R7322"/>
      <c r="S7322"/>
    </row>
    <row r="7323" spans="1:19" x14ac:dyDescent="0.25">
      <c r="A7323" s="1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  <c r="P7323"/>
      <c r="Q7323"/>
      <c r="R7323"/>
      <c r="S7323"/>
    </row>
    <row r="7324" spans="1:19" x14ac:dyDescent="0.25">
      <c r="A7324" s="1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  <c r="P7324"/>
      <c r="Q7324"/>
      <c r="R7324"/>
      <c r="S7324"/>
    </row>
    <row r="7325" spans="1:19" x14ac:dyDescent="0.25">
      <c r="A7325" s="1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  <c r="P7325"/>
      <c r="Q7325"/>
      <c r="R7325"/>
      <c r="S7325"/>
    </row>
    <row r="7326" spans="1:19" x14ac:dyDescent="0.25">
      <c r="A7326" s="1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  <c r="P7326"/>
      <c r="Q7326"/>
      <c r="R7326"/>
      <c r="S7326"/>
    </row>
    <row r="7327" spans="1:19" x14ac:dyDescent="0.25">
      <c r="A7327" s="1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  <c r="P7327"/>
      <c r="Q7327"/>
      <c r="R7327"/>
      <c r="S7327"/>
    </row>
    <row r="7328" spans="1:19" x14ac:dyDescent="0.25">
      <c r="A7328" s="1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  <c r="P7328"/>
      <c r="Q7328"/>
      <c r="R7328"/>
      <c r="S7328"/>
    </row>
    <row r="7329" spans="1:19" x14ac:dyDescent="0.25">
      <c r="A7329" s="1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  <c r="P7329"/>
      <c r="Q7329"/>
      <c r="R7329"/>
      <c r="S7329"/>
    </row>
    <row r="7330" spans="1:19" x14ac:dyDescent="0.25">
      <c r="A7330" s="1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  <c r="P7330"/>
      <c r="Q7330"/>
      <c r="R7330"/>
      <c r="S7330"/>
    </row>
    <row r="7331" spans="1:19" x14ac:dyDescent="0.25">
      <c r="A7331" s="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  <c r="P7331"/>
      <c r="Q7331"/>
      <c r="R7331"/>
      <c r="S7331"/>
    </row>
    <row r="7332" spans="1:19" x14ac:dyDescent="0.25">
      <c r="A7332" s="1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  <c r="P7332"/>
      <c r="Q7332"/>
      <c r="R7332"/>
      <c r="S7332"/>
    </row>
    <row r="7333" spans="1:19" x14ac:dyDescent="0.25">
      <c r="A7333" s="1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  <c r="P7333"/>
      <c r="Q7333"/>
      <c r="R7333"/>
      <c r="S7333"/>
    </row>
    <row r="7334" spans="1:19" x14ac:dyDescent="0.25">
      <c r="A7334" s="1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  <c r="P7334"/>
      <c r="Q7334"/>
      <c r="R7334"/>
      <c r="S7334"/>
    </row>
    <row r="7335" spans="1:19" x14ac:dyDescent="0.25">
      <c r="A7335" s="1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  <c r="P7335"/>
      <c r="Q7335"/>
      <c r="R7335"/>
      <c r="S7335"/>
    </row>
    <row r="7336" spans="1:19" x14ac:dyDescent="0.25">
      <c r="A7336" s="1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  <c r="P7336"/>
      <c r="Q7336"/>
      <c r="R7336"/>
      <c r="S7336"/>
    </row>
    <row r="7337" spans="1:19" x14ac:dyDescent="0.25">
      <c r="A7337" s="1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  <c r="P7337"/>
      <c r="Q7337"/>
      <c r="R7337"/>
      <c r="S7337"/>
    </row>
    <row r="7338" spans="1:19" x14ac:dyDescent="0.25">
      <c r="A7338" s="1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  <c r="P7338"/>
      <c r="Q7338"/>
      <c r="R7338"/>
      <c r="S7338"/>
    </row>
    <row r="7339" spans="1:19" x14ac:dyDescent="0.25">
      <c r="A7339" s="1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  <c r="P7339"/>
      <c r="Q7339"/>
      <c r="R7339"/>
      <c r="S7339"/>
    </row>
    <row r="7340" spans="1:19" x14ac:dyDescent="0.25">
      <c r="A7340" s="1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  <c r="P7340"/>
      <c r="Q7340"/>
      <c r="R7340"/>
      <c r="S7340"/>
    </row>
    <row r="7341" spans="1:19" x14ac:dyDescent="0.25">
      <c r="A7341" s="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  <c r="P7341"/>
      <c r="Q7341"/>
      <c r="R7341"/>
      <c r="S7341"/>
    </row>
    <row r="7342" spans="1:19" x14ac:dyDescent="0.25">
      <c r="A7342" s="1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  <c r="P7342"/>
      <c r="Q7342"/>
      <c r="R7342"/>
      <c r="S7342"/>
    </row>
    <row r="7343" spans="1:19" x14ac:dyDescent="0.25">
      <c r="A7343" s="1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  <c r="P7343"/>
      <c r="Q7343"/>
      <c r="R7343"/>
      <c r="S7343"/>
    </row>
    <row r="7344" spans="1:19" x14ac:dyDescent="0.25">
      <c r="A7344" s="1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  <c r="P7344"/>
      <c r="Q7344"/>
      <c r="R7344"/>
      <c r="S7344"/>
    </row>
    <row r="7345" spans="1:19" x14ac:dyDescent="0.25">
      <c r="A7345" s="1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  <c r="P7345"/>
      <c r="Q7345"/>
      <c r="R7345"/>
      <c r="S7345"/>
    </row>
    <row r="7346" spans="1:19" x14ac:dyDescent="0.25">
      <c r="A7346" s="1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  <c r="P7346"/>
      <c r="Q7346"/>
      <c r="R7346"/>
      <c r="S7346"/>
    </row>
    <row r="7347" spans="1:19" x14ac:dyDescent="0.25">
      <c r="A7347" s="1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  <c r="P7347"/>
      <c r="Q7347"/>
      <c r="R7347"/>
      <c r="S7347"/>
    </row>
    <row r="7348" spans="1:19" x14ac:dyDescent="0.25">
      <c r="A7348" s="1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  <c r="P7348"/>
      <c r="Q7348"/>
      <c r="R7348"/>
      <c r="S7348"/>
    </row>
    <row r="7349" spans="1:19" x14ac:dyDescent="0.25">
      <c r="A7349" s="1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  <c r="P7349"/>
      <c r="Q7349"/>
      <c r="R7349"/>
      <c r="S7349"/>
    </row>
    <row r="7350" spans="1:19" x14ac:dyDescent="0.25">
      <c r="A7350" s="1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  <c r="P7350"/>
      <c r="Q7350"/>
      <c r="R7350"/>
      <c r="S7350"/>
    </row>
    <row r="7351" spans="1:19" x14ac:dyDescent="0.25">
      <c r="A7351" s="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  <c r="P7351"/>
      <c r="Q7351"/>
      <c r="R7351"/>
      <c r="S7351"/>
    </row>
    <row r="7352" spans="1:19" x14ac:dyDescent="0.25">
      <c r="A7352" s="1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  <c r="P7352"/>
      <c r="Q7352"/>
      <c r="R7352"/>
      <c r="S7352"/>
    </row>
    <row r="7353" spans="1:19" x14ac:dyDescent="0.25">
      <c r="A7353" s="1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  <c r="P7353"/>
      <c r="Q7353"/>
      <c r="R7353"/>
      <c r="S7353"/>
    </row>
    <row r="7354" spans="1:19" x14ac:dyDescent="0.25">
      <c r="A7354" s="1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  <c r="P7354"/>
      <c r="Q7354"/>
      <c r="R7354"/>
      <c r="S7354"/>
    </row>
    <row r="7355" spans="1:19" x14ac:dyDescent="0.25">
      <c r="A7355" s="1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  <c r="P7355"/>
      <c r="Q7355"/>
      <c r="R7355"/>
      <c r="S7355"/>
    </row>
    <row r="7356" spans="1:19" x14ac:dyDescent="0.25">
      <c r="A7356" s="1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  <c r="P7356"/>
      <c r="Q7356"/>
      <c r="R7356"/>
      <c r="S7356"/>
    </row>
    <row r="7357" spans="1:19" x14ac:dyDescent="0.25">
      <c r="A7357" s="1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  <c r="P7357"/>
      <c r="Q7357"/>
      <c r="R7357"/>
      <c r="S7357"/>
    </row>
    <row r="7358" spans="1:19" x14ac:dyDescent="0.25">
      <c r="A7358" s="1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  <c r="P7358"/>
      <c r="Q7358"/>
      <c r="R7358"/>
      <c r="S7358"/>
    </row>
    <row r="7359" spans="1:19" x14ac:dyDescent="0.25">
      <c r="A7359" s="1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  <c r="P7359"/>
      <c r="Q7359"/>
      <c r="R7359"/>
      <c r="S7359"/>
    </row>
    <row r="7360" spans="1:19" x14ac:dyDescent="0.25">
      <c r="A7360" s="1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  <c r="P7360"/>
      <c r="Q7360"/>
      <c r="R7360"/>
      <c r="S7360"/>
    </row>
    <row r="7361" spans="1:19" x14ac:dyDescent="0.25">
      <c r="A7361" s="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  <c r="P7361"/>
      <c r="Q7361"/>
      <c r="R7361"/>
      <c r="S7361"/>
    </row>
    <row r="7362" spans="1:19" x14ac:dyDescent="0.25">
      <c r="A7362" s="1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  <c r="P7362"/>
      <c r="Q7362"/>
      <c r="R7362"/>
      <c r="S7362"/>
    </row>
    <row r="7363" spans="1:19" x14ac:dyDescent="0.25">
      <c r="A7363" s="1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  <c r="P7363"/>
      <c r="Q7363"/>
      <c r="R7363"/>
      <c r="S7363"/>
    </row>
    <row r="7364" spans="1:19" x14ac:dyDescent="0.25">
      <c r="A7364" s="1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  <c r="P7364"/>
      <c r="Q7364"/>
      <c r="R7364"/>
      <c r="S7364"/>
    </row>
    <row r="7365" spans="1:19" x14ac:dyDescent="0.25">
      <c r="A7365" s="1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  <c r="P7365"/>
      <c r="Q7365"/>
      <c r="R7365"/>
      <c r="S7365"/>
    </row>
    <row r="7366" spans="1:19" x14ac:dyDescent="0.25">
      <c r="A7366" s="1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  <c r="P7366"/>
      <c r="Q7366"/>
      <c r="R7366"/>
      <c r="S7366"/>
    </row>
    <row r="7367" spans="1:19" x14ac:dyDescent="0.25">
      <c r="A7367" s="1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  <c r="P7367"/>
      <c r="Q7367"/>
      <c r="R7367"/>
      <c r="S7367"/>
    </row>
    <row r="7368" spans="1:19" x14ac:dyDescent="0.25">
      <c r="A7368" s="1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  <c r="P7368"/>
      <c r="Q7368"/>
      <c r="R7368"/>
      <c r="S7368"/>
    </row>
    <row r="7369" spans="1:19" x14ac:dyDescent="0.25">
      <c r="A7369" s="1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  <c r="P7369"/>
      <c r="Q7369"/>
      <c r="R7369"/>
      <c r="S7369"/>
    </row>
    <row r="7370" spans="1:19" x14ac:dyDescent="0.25">
      <c r="A7370" s="1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  <c r="P7370"/>
      <c r="Q7370"/>
      <c r="R7370"/>
      <c r="S7370"/>
    </row>
    <row r="7371" spans="1:19" x14ac:dyDescent="0.25">
      <c r="A7371" s="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  <c r="P7371"/>
      <c r="Q7371"/>
      <c r="R7371"/>
      <c r="S7371"/>
    </row>
    <row r="7372" spans="1:19" x14ac:dyDescent="0.25">
      <c r="A7372" s="1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  <c r="P7372"/>
      <c r="Q7372"/>
      <c r="R7372"/>
      <c r="S7372"/>
    </row>
    <row r="7373" spans="1:19" x14ac:dyDescent="0.25">
      <c r="A7373" s="1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  <c r="P7373"/>
      <c r="Q7373"/>
      <c r="R7373"/>
      <c r="S7373"/>
    </row>
    <row r="7374" spans="1:19" x14ac:dyDescent="0.25">
      <c r="A7374" s="1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  <c r="P7374"/>
      <c r="Q7374"/>
      <c r="R7374"/>
      <c r="S7374"/>
    </row>
    <row r="7375" spans="1:19" x14ac:dyDescent="0.25">
      <c r="A7375" s="1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  <c r="P7375"/>
      <c r="Q7375"/>
      <c r="R7375"/>
      <c r="S7375"/>
    </row>
    <row r="7376" spans="1:19" x14ac:dyDescent="0.25">
      <c r="A7376" s="1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  <c r="P7376"/>
      <c r="Q7376"/>
      <c r="R7376"/>
      <c r="S7376"/>
    </row>
    <row r="7377" spans="1:19" x14ac:dyDescent="0.25">
      <c r="A7377" s="1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  <c r="P7377"/>
      <c r="Q7377"/>
      <c r="R7377"/>
      <c r="S7377"/>
    </row>
    <row r="7378" spans="1:19" x14ac:dyDescent="0.25">
      <c r="A7378" s="1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  <c r="P7378"/>
      <c r="Q7378"/>
      <c r="R7378"/>
      <c r="S7378"/>
    </row>
    <row r="7379" spans="1:19" x14ac:dyDescent="0.25">
      <c r="A7379" s="1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  <c r="P7379"/>
      <c r="Q7379"/>
      <c r="R7379"/>
      <c r="S7379"/>
    </row>
    <row r="7380" spans="1:19" x14ac:dyDescent="0.25">
      <c r="A7380" s="1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  <c r="P7380"/>
      <c r="Q7380"/>
      <c r="R7380"/>
      <c r="S7380"/>
    </row>
    <row r="7381" spans="1:19" x14ac:dyDescent="0.25">
      <c r="A7381" s="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  <c r="P7381"/>
      <c r="Q7381"/>
      <c r="R7381"/>
      <c r="S7381"/>
    </row>
    <row r="7382" spans="1:19" x14ac:dyDescent="0.25">
      <c r="A7382" s="1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  <c r="P7382"/>
      <c r="Q7382"/>
      <c r="R7382"/>
      <c r="S7382"/>
    </row>
    <row r="7383" spans="1:19" x14ac:dyDescent="0.25">
      <c r="A7383" s="1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  <c r="P7383"/>
      <c r="Q7383"/>
      <c r="R7383"/>
      <c r="S7383"/>
    </row>
    <row r="7384" spans="1:19" x14ac:dyDescent="0.25">
      <c r="A7384" s="1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  <c r="P7384"/>
      <c r="Q7384"/>
      <c r="R7384"/>
      <c r="S7384"/>
    </row>
    <row r="7385" spans="1:19" x14ac:dyDescent="0.25">
      <c r="A7385" s="1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  <c r="P7385"/>
      <c r="Q7385"/>
      <c r="R7385"/>
      <c r="S7385"/>
    </row>
    <row r="7386" spans="1:19" x14ac:dyDescent="0.25">
      <c r="A7386" s="1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  <c r="P7386"/>
      <c r="Q7386"/>
      <c r="R7386"/>
      <c r="S7386"/>
    </row>
    <row r="7387" spans="1:19" x14ac:dyDescent="0.25">
      <c r="A7387" s="1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  <c r="P7387"/>
      <c r="Q7387"/>
      <c r="R7387"/>
      <c r="S7387"/>
    </row>
    <row r="7388" spans="1:19" x14ac:dyDescent="0.25">
      <c r="A7388" s="1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  <c r="P7388"/>
      <c r="Q7388"/>
      <c r="R7388"/>
      <c r="S7388"/>
    </row>
    <row r="7389" spans="1:19" x14ac:dyDescent="0.25">
      <c r="A7389" s="1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  <c r="P7389"/>
      <c r="Q7389"/>
      <c r="R7389"/>
      <c r="S7389"/>
    </row>
    <row r="7390" spans="1:19" x14ac:dyDescent="0.25">
      <c r="A7390" s="1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  <c r="P7390"/>
      <c r="Q7390"/>
      <c r="R7390"/>
      <c r="S7390"/>
    </row>
    <row r="7391" spans="1:19" x14ac:dyDescent="0.25">
      <c r="A7391" s="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  <c r="P7391"/>
      <c r="Q7391"/>
      <c r="R7391"/>
      <c r="S7391"/>
    </row>
    <row r="7392" spans="1:19" x14ac:dyDescent="0.25">
      <c r="A7392" s="1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  <c r="P7392"/>
      <c r="Q7392"/>
      <c r="R7392"/>
      <c r="S7392"/>
    </row>
    <row r="7393" spans="1:19" x14ac:dyDescent="0.25">
      <c r="A7393" s="1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  <c r="P7393"/>
      <c r="Q7393"/>
      <c r="R7393"/>
      <c r="S7393"/>
    </row>
    <row r="7394" spans="1:19" x14ac:dyDescent="0.25">
      <c r="A7394" s="1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  <c r="P7394"/>
      <c r="Q7394"/>
      <c r="R7394"/>
      <c r="S7394"/>
    </row>
    <row r="7395" spans="1:19" x14ac:dyDescent="0.25">
      <c r="A7395" s="1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  <c r="P7395"/>
      <c r="Q7395"/>
      <c r="R7395"/>
      <c r="S7395"/>
    </row>
    <row r="7396" spans="1:19" x14ac:dyDescent="0.25">
      <c r="A7396" s="1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  <c r="P7396"/>
      <c r="Q7396"/>
      <c r="R7396"/>
      <c r="S7396"/>
    </row>
    <row r="7397" spans="1:19" x14ac:dyDescent="0.25">
      <c r="A7397" s="1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  <c r="P7397"/>
      <c r="Q7397"/>
      <c r="R7397"/>
      <c r="S7397"/>
    </row>
    <row r="7398" spans="1:19" x14ac:dyDescent="0.25">
      <c r="A7398" s="1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  <c r="P7398"/>
      <c r="Q7398"/>
      <c r="R7398"/>
      <c r="S7398"/>
    </row>
    <row r="7399" spans="1:19" x14ac:dyDescent="0.25">
      <c r="A7399" s="1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  <c r="P7399"/>
      <c r="Q7399"/>
      <c r="R7399"/>
      <c r="S7399"/>
    </row>
    <row r="7400" spans="1:19" x14ac:dyDescent="0.25">
      <c r="A7400" s="1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  <c r="P7400"/>
      <c r="Q7400"/>
      <c r="R7400"/>
      <c r="S7400"/>
    </row>
    <row r="7401" spans="1:19" x14ac:dyDescent="0.25">
      <c r="A7401" s="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  <c r="P7401"/>
      <c r="Q7401"/>
      <c r="R7401"/>
      <c r="S7401"/>
    </row>
    <row r="7402" spans="1:19" x14ac:dyDescent="0.25">
      <c r="A7402" s="1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  <c r="P7402"/>
      <c r="Q7402"/>
      <c r="R7402"/>
      <c r="S7402"/>
    </row>
    <row r="7403" spans="1:19" x14ac:dyDescent="0.25">
      <c r="A7403" s="1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  <c r="P7403"/>
      <c r="Q7403"/>
      <c r="R7403"/>
      <c r="S7403"/>
    </row>
    <row r="7404" spans="1:19" x14ac:dyDescent="0.25">
      <c r="A7404" s="1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  <c r="P7404"/>
      <c r="Q7404"/>
      <c r="R7404"/>
      <c r="S7404"/>
    </row>
    <row r="7405" spans="1:19" x14ac:dyDescent="0.25">
      <c r="A7405" s="1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  <c r="P7405"/>
      <c r="Q7405"/>
      <c r="R7405"/>
      <c r="S7405"/>
    </row>
    <row r="7406" spans="1:19" x14ac:dyDescent="0.25">
      <c r="A7406" s="1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  <c r="P7406"/>
      <c r="Q7406"/>
      <c r="R7406"/>
      <c r="S7406"/>
    </row>
    <row r="7407" spans="1:19" x14ac:dyDescent="0.25">
      <c r="A7407" s="1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  <c r="P7407"/>
      <c r="Q7407"/>
      <c r="R7407"/>
      <c r="S7407"/>
    </row>
    <row r="7408" spans="1:19" x14ac:dyDescent="0.25">
      <c r="A7408" s="1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  <c r="P7408"/>
      <c r="Q7408"/>
      <c r="R7408"/>
      <c r="S7408"/>
    </row>
    <row r="7409" spans="1:19" x14ac:dyDescent="0.25">
      <c r="A7409" s="1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  <c r="P7409"/>
      <c r="Q7409"/>
      <c r="R7409"/>
      <c r="S7409"/>
    </row>
    <row r="7410" spans="1:19" x14ac:dyDescent="0.25">
      <c r="A7410" s="1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  <c r="P7410"/>
      <c r="Q7410"/>
      <c r="R7410"/>
      <c r="S7410"/>
    </row>
    <row r="7411" spans="1:19" x14ac:dyDescent="0.25">
      <c r="A7411" s="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  <c r="P7411"/>
      <c r="Q7411"/>
      <c r="R7411"/>
      <c r="S7411"/>
    </row>
    <row r="7412" spans="1:19" x14ac:dyDescent="0.25">
      <c r="A7412" s="1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  <c r="P7412"/>
      <c r="Q7412"/>
      <c r="R7412"/>
      <c r="S7412"/>
    </row>
    <row r="7413" spans="1:19" x14ac:dyDescent="0.25">
      <c r="A7413" s="1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  <c r="P7413"/>
      <c r="Q7413"/>
      <c r="R7413"/>
      <c r="S7413"/>
    </row>
    <row r="7414" spans="1:19" x14ac:dyDescent="0.25">
      <c r="A7414" s="1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  <c r="P7414"/>
      <c r="Q7414"/>
      <c r="R7414"/>
      <c r="S7414"/>
    </row>
    <row r="7415" spans="1:19" x14ac:dyDescent="0.25">
      <c r="A7415" s="1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  <c r="P7415"/>
      <c r="Q7415"/>
      <c r="R7415"/>
      <c r="S7415"/>
    </row>
    <row r="7416" spans="1:19" x14ac:dyDescent="0.25">
      <c r="A7416" s="1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  <c r="P7416"/>
      <c r="Q7416"/>
      <c r="R7416"/>
      <c r="S7416"/>
    </row>
    <row r="7417" spans="1:19" x14ac:dyDescent="0.25">
      <c r="A7417" s="1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  <c r="P7417"/>
      <c r="Q7417"/>
      <c r="R7417"/>
      <c r="S7417"/>
    </row>
    <row r="7418" spans="1:19" x14ac:dyDescent="0.25">
      <c r="A7418" s="1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  <c r="P7418"/>
      <c r="Q7418"/>
      <c r="R7418"/>
      <c r="S7418"/>
    </row>
    <row r="7419" spans="1:19" x14ac:dyDescent="0.25">
      <c r="A7419" s="1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  <c r="P7419"/>
      <c r="Q7419"/>
      <c r="R7419"/>
      <c r="S7419"/>
    </row>
    <row r="7420" spans="1:19" x14ac:dyDescent="0.25">
      <c r="A7420" s="1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  <c r="P7420"/>
      <c r="Q7420"/>
      <c r="R7420"/>
      <c r="S7420"/>
    </row>
    <row r="7421" spans="1:19" x14ac:dyDescent="0.25">
      <c r="A7421" s="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  <c r="P7421"/>
      <c r="Q7421"/>
      <c r="R7421"/>
      <c r="S7421"/>
    </row>
    <row r="7422" spans="1:19" x14ac:dyDescent="0.25">
      <c r="A7422" s="1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  <c r="P7422"/>
      <c r="Q7422"/>
      <c r="R7422"/>
      <c r="S7422"/>
    </row>
    <row r="7423" spans="1:19" x14ac:dyDescent="0.25">
      <c r="A7423" s="1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  <c r="P7423"/>
      <c r="Q7423"/>
      <c r="R7423"/>
      <c r="S7423"/>
    </row>
    <row r="7424" spans="1:19" x14ac:dyDescent="0.25">
      <c r="A7424" s="1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  <c r="P7424"/>
      <c r="Q7424"/>
      <c r="R7424"/>
      <c r="S7424"/>
    </row>
    <row r="7425" spans="1:19" x14ac:dyDescent="0.25">
      <c r="A7425" s="1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  <c r="P7425"/>
      <c r="Q7425"/>
      <c r="R7425"/>
      <c r="S7425"/>
    </row>
    <row r="7426" spans="1:19" x14ac:dyDescent="0.25">
      <c r="A7426" s="1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  <c r="P7426"/>
      <c r="Q7426"/>
      <c r="R7426"/>
      <c r="S7426"/>
    </row>
    <row r="7427" spans="1:19" x14ac:dyDescent="0.25">
      <c r="A7427" s="1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  <c r="P7427"/>
      <c r="Q7427"/>
      <c r="R7427"/>
      <c r="S7427"/>
    </row>
    <row r="7428" spans="1:19" x14ac:dyDescent="0.25">
      <c r="A7428" s="1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  <c r="P7428"/>
      <c r="Q7428"/>
      <c r="R7428"/>
      <c r="S7428"/>
    </row>
    <row r="7429" spans="1:19" x14ac:dyDescent="0.25">
      <c r="A7429" s="1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  <c r="P7429"/>
      <c r="Q7429"/>
      <c r="R7429"/>
      <c r="S7429"/>
    </row>
    <row r="7430" spans="1:19" x14ac:dyDescent="0.25">
      <c r="A7430" s="1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  <c r="P7430"/>
      <c r="Q7430"/>
      <c r="R7430"/>
      <c r="S7430"/>
    </row>
    <row r="7431" spans="1:19" x14ac:dyDescent="0.25">
      <c r="A7431" s="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  <c r="P7431"/>
      <c r="Q7431"/>
      <c r="R7431"/>
      <c r="S7431"/>
    </row>
    <row r="7432" spans="1:19" x14ac:dyDescent="0.25">
      <c r="A7432" s="1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  <c r="P7432"/>
      <c r="Q7432"/>
      <c r="R7432"/>
      <c r="S7432"/>
    </row>
    <row r="7433" spans="1:19" x14ac:dyDescent="0.25">
      <c r="A7433" s="1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  <c r="P7433"/>
      <c r="Q7433"/>
      <c r="R7433"/>
      <c r="S7433"/>
    </row>
    <row r="7434" spans="1:19" x14ac:dyDescent="0.25">
      <c r="A7434" s="1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  <c r="P7434"/>
      <c r="Q7434"/>
      <c r="R7434"/>
      <c r="S7434"/>
    </row>
    <row r="7435" spans="1:19" x14ac:dyDescent="0.25">
      <c r="A7435" s="1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  <c r="P7435"/>
      <c r="Q7435"/>
      <c r="R7435"/>
      <c r="S7435"/>
    </row>
    <row r="7436" spans="1:19" x14ac:dyDescent="0.25">
      <c r="A7436" s="1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  <c r="P7436"/>
      <c r="Q7436"/>
      <c r="R7436"/>
      <c r="S7436"/>
    </row>
    <row r="7437" spans="1:19" x14ac:dyDescent="0.25">
      <c r="A7437" s="1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  <c r="P7437"/>
      <c r="Q7437"/>
      <c r="R7437"/>
      <c r="S7437"/>
    </row>
    <row r="7438" spans="1:19" x14ac:dyDescent="0.25">
      <c r="A7438" s="1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  <c r="P7438"/>
      <c r="Q7438"/>
      <c r="R7438"/>
      <c r="S7438"/>
    </row>
    <row r="7439" spans="1:19" x14ac:dyDescent="0.25">
      <c r="A7439" s="1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  <c r="P7439"/>
      <c r="Q7439"/>
      <c r="R7439"/>
      <c r="S7439"/>
    </row>
    <row r="7440" spans="1:19" x14ac:dyDescent="0.25">
      <c r="A7440" s="1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  <c r="P7440"/>
      <c r="Q7440"/>
      <c r="R7440"/>
      <c r="S7440"/>
    </row>
    <row r="7441" spans="1:19" x14ac:dyDescent="0.25">
      <c r="A7441" s="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  <c r="P7441"/>
      <c r="Q7441"/>
      <c r="R7441"/>
      <c r="S7441"/>
    </row>
    <row r="7442" spans="1:19" x14ac:dyDescent="0.25">
      <c r="A7442" s="1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  <c r="P7442"/>
      <c r="Q7442"/>
      <c r="R7442"/>
      <c r="S7442"/>
    </row>
    <row r="7443" spans="1:19" x14ac:dyDescent="0.25">
      <c r="A7443" s="1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  <c r="P7443"/>
      <c r="Q7443"/>
      <c r="R7443"/>
      <c r="S7443"/>
    </row>
    <row r="7444" spans="1:19" x14ac:dyDescent="0.25">
      <c r="A7444" s="1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  <c r="P7444"/>
      <c r="Q7444"/>
      <c r="R7444"/>
      <c r="S7444"/>
    </row>
    <row r="7445" spans="1:19" x14ac:dyDescent="0.25">
      <c r="A7445" s="1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  <c r="P7445"/>
      <c r="Q7445"/>
      <c r="R7445"/>
      <c r="S7445"/>
    </row>
    <row r="7446" spans="1:19" x14ac:dyDescent="0.25">
      <c r="A7446" s="1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  <c r="P7446"/>
      <c r="Q7446"/>
      <c r="R7446"/>
      <c r="S7446"/>
    </row>
    <row r="7447" spans="1:19" x14ac:dyDescent="0.25">
      <c r="A7447" s="1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  <c r="P7447"/>
      <c r="Q7447"/>
      <c r="R7447"/>
      <c r="S7447"/>
    </row>
    <row r="7448" spans="1:19" x14ac:dyDescent="0.25">
      <c r="A7448" s="1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  <c r="P7448"/>
      <c r="Q7448"/>
      <c r="R7448"/>
      <c r="S7448"/>
    </row>
    <row r="7449" spans="1:19" x14ac:dyDescent="0.25">
      <c r="A7449" s="1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  <c r="P7449"/>
      <c r="Q7449"/>
      <c r="R7449"/>
      <c r="S7449"/>
    </row>
    <row r="7450" spans="1:19" x14ac:dyDescent="0.25">
      <c r="A7450" s="1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  <c r="P7450"/>
      <c r="Q7450"/>
      <c r="R7450"/>
      <c r="S7450"/>
    </row>
    <row r="7451" spans="1:19" x14ac:dyDescent="0.25">
      <c r="A7451" s="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  <c r="P7451"/>
      <c r="Q7451"/>
      <c r="R7451"/>
      <c r="S7451"/>
    </row>
    <row r="7452" spans="1:19" x14ac:dyDescent="0.25">
      <c r="A7452" s="1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  <c r="P7452"/>
      <c r="Q7452"/>
      <c r="R7452"/>
      <c r="S7452"/>
    </row>
    <row r="7453" spans="1:19" x14ac:dyDescent="0.25">
      <c r="A7453" s="1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  <c r="P7453"/>
      <c r="Q7453"/>
      <c r="R7453"/>
      <c r="S7453"/>
    </row>
    <row r="7454" spans="1:19" x14ac:dyDescent="0.25">
      <c r="A7454" s="1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  <c r="P7454"/>
      <c r="Q7454"/>
      <c r="R7454"/>
      <c r="S7454"/>
    </row>
    <row r="7455" spans="1:19" x14ac:dyDescent="0.25">
      <c r="A7455" s="1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  <c r="P7455"/>
      <c r="Q7455"/>
      <c r="R7455"/>
      <c r="S7455"/>
    </row>
    <row r="7456" spans="1:19" x14ac:dyDescent="0.25">
      <c r="A7456" s="1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  <c r="P7456"/>
      <c r="Q7456"/>
      <c r="R7456"/>
      <c r="S7456"/>
    </row>
    <row r="7457" spans="1:19" x14ac:dyDescent="0.25">
      <c r="A7457" s="1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  <c r="P7457"/>
      <c r="Q7457"/>
      <c r="R7457"/>
      <c r="S7457"/>
    </row>
    <row r="7458" spans="1:19" x14ac:dyDescent="0.25">
      <c r="A7458" s="1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  <c r="P7458"/>
      <c r="Q7458"/>
      <c r="R7458"/>
      <c r="S7458"/>
    </row>
    <row r="7459" spans="1:19" x14ac:dyDescent="0.25">
      <c r="A7459" s="1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  <c r="P7459"/>
      <c r="Q7459"/>
      <c r="R7459"/>
      <c r="S7459"/>
    </row>
    <row r="7460" spans="1:19" x14ac:dyDescent="0.25">
      <c r="A7460" s="1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  <c r="P7460"/>
      <c r="Q7460"/>
      <c r="R7460"/>
      <c r="S7460"/>
    </row>
    <row r="7461" spans="1:19" x14ac:dyDescent="0.25">
      <c r="A7461" s="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  <c r="P7461"/>
      <c r="Q7461"/>
      <c r="R7461"/>
      <c r="S7461"/>
    </row>
    <row r="7462" spans="1:19" x14ac:dyDescent="0.25">
      <c r="A7462" s="1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  <c r="P7462"/>
      <c r="Q7462"/>
      <c r="R7462"/>
      <c r="S7462"/>
    </row>
    <row r="7463" spans="1:19" x14ac:dyDescent="0.25">
      <c r="A7463" s="1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  <c r="P7463"/>
      <c r="Q7463"/>
      <c r="R7463"/>
      <c r="S7463"/>
    </row>
    <row r="7464" spans="1:19" x14ac:dyDescent="0.25">
      <c r="A7464" s="1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  <c r="P7464"/>
      <c r="Q7464"/>
      <c r="R7464"/>
      <c r="S7464"/>
    </row>
    <row r="7465" spans="1:19" x14ac:dyDescent="0.25">
      <c r="A7465" s="1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  <c r="P7465"/>
      <c r="Q7465"/>
      <c r="R7465"/>
      <c r="S7465"/>
    </row>
    <row r="7466" spans="1:19" x14ac:dyDescent="0.25">
      <c r="A7466" s="1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  <c r="P7466"/>
      <c r="Q7466"/>
      <c r="R7466"/>
      <c r="S7466"/>
    </row>
    <row r="7467" spans="1:19" x14ac:dyDescent="0.25">
      <c r="A7467" s="1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  <c r="P7467"/>
      <c r="Q7467"/>
      <c r="R7467"/>
      <c r="S7467"/>
    </row>
    <row r="7468" spans="1:19" x14ac:dyDescent="0.25">
      <c r="A7468" s="1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  <c r="P7468"/>
      <c r="Q7468"/>
      <c r="R7468"/>
      <c r="S7468"/>
    </row>
    <row r="7469" spans="1:19" x14ac:dyDescent="0.25">
      <c r="A7469" s="1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  <c r="P7469"/>
      <c r="Q7469"/>
      <c r="R7469"/>
      <c r="S7469"/>
    </row>
    <row r="7470" spans="1:19" x14ac:dyDescent="0.25">
      <c r="A7470" s="1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  <c r="P7470"/>
      <c r="Q7470"/>
      <c r="R7470"/>
      <c r="S7470"/>
    </row>
    <row r="7471" spans="1:19" x14ac:dyDescent="0.25">
      <c r="A7471" s="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  <c r="P7471"/>
      <c r="Q7471"/>
      <c r="R7471"/>
      <c r="S7471"/>
    </row>
    <row r="7472" spans="1:19" x14ac:dyDescent="0.25">
      <c r="A7472" s="1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  <c r="P7472"/>
      <c r="Q7472"/>
      <c r="R7472"/>
      <c r="S7472"/>
    </row>
    <row r="7473" spans="1:19" x14ac:dyDescent="0.25">
      <c r="A7473" s="1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  <c r="P7473"/>
      <c r="Q7473"/>
      <c r="R7473"/>
      <c r="S7473"/>
    </row>
    <row r="7474" spans="1:19" x14ac:dyDescent="0.25">
      <c r="A7474" s="1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  <c r="P7474"/>
      <c r="Q7474"/>
      <c r="R7474"/>
      <c r="S7474"/>
    </row>
    <row r="7475" spans="1:19" x14ac:dyDescent="0.25">
      <c r="A7475" s="1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  <c r="P7475"/>
      <c r="Q7475"/>
      <c r="R7475"/>
      <c r="S7475"/>
    </row>
    <row r="7476" spans="1:19" x14ac:dyDescent="0.25">
      <c r="A7476" s="1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  <c r="P7476"/>
      <c r="Q7476"/>
      <c r="R7476"/>
      <c r="S7476"/>
    </row>
    <row r="7477" spans="1:19" x14ac:dyDescent="0.25">
      <c r="A7477" s="1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  <c r="P7477"/>
      <c r="Q7477"/>
      <c r="R7477"/>
      <c r="S7477"/>
    </row>
    <row r="7478" spans="1:19" x14ac:dyDescent="0.25">
      <c r="A7478" s="1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  <c r="P7478"/>
      <c r="Q7478"/>
      <c r="R7478"/>
      <c r="S7478"/>
    </row>
    <row r="7479" spans="1:19" x14ac:dyDescent="0.25">
      <c r="A7479" s="1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  <c r="P7479"/>
      <c r="Q7479"/>
      <c r="R7479"/>
      <c r="S7479"/>
    </row>
    <row r="7480" spans="1:19" x14ac:dyDescent="0.25">
      <c r="A7480" s="1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  <c r="P7480"/>
      <c r="Q7480"/>
      <c r="R7480"/>
      <c r="S7480"/>
    </row>
    <row r="7481" spans="1:19" x14ac:dyDescent="0.25">
      <c r="A7481" s="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  <c r="P7481"/>
      <c r="Q7481"/>
      <c r="R7481"/>
      <c r="S7481"/>
    </row>
    <row r="7482" spans="1:19" x14ac:dyDescent="0.25">
      <c r="A7482" s="1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  <c r="P7482"/>
      <c r="Q7482"/>
      <c r="R7482"/>
      <c r="S7482"/>
    </row>
    <row r="7483" spans="1:19" x14ac:dyDescent="0.25">
      <c r="A7483" s="1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  <c r="P7483"/>
      <c r="Q7483"/>
      <c r="R7483"/>
      <c r="S7483"/>
    </row>
    <row r="7484" spans="1:19" x14ac:dyDescent="0.25">
      <c r="A7484" s="1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  <c r="P7484"/>
      <c r="Q7484"/>
      <c r="R7484"/>
      <c r="S7484"/>
    </row>
    <row r="7485" spans="1:19" x14ac:dyDescent="0.25">
      <c r="A7485" s="1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  <c r="P7485"/>
      <c r="Q7485"/>
      <c r="R7485"/>
      <c r="S7485"/>
    </row>
    <row r="7486" spans="1:19" x14ac:dyDescent="0.25">
      <c r="A7486" s="1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  <c r="P7486"/>
      <c r="Q7486"/>
      <c r="R7486"/>
      <c r="S7486"/>
    </row>
    <row r="7487" spans="1:19" x14ac:dyDescent="0.25">
      <c r="A7487" s="1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  <c r="P7487"/>
      <c r="Q7487"/>
      <c r="R7487"/>
      <c r="S7487"/>
    </row>
    <row r="7488" spans="1:19" x14ac:dyDescent="0.25">
      <c r="A7488" s="1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  <c r="P7488"/>
      <c r="Q7488"/>
      <c r="R7488"/>
      <c r="S7488"/>
    </row>
    <row r="7489" spans="1:19" x14ac:dyDescent="0.25">
      <c r="A7489" s="1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  <c r="P7489"/>
      <c r="Q7489"/>
      <c r="R7489"/>
      <c r="S7489"/>
    </row>
    <row r="7490" spans="1:19" x14ac:dyDescent="0.25">
      <c r="A7490" s="1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  <c r="P7490"/>
      <c r="Q7490"/>
      <c r="R7490"/>
      <c r="S7490"/>
    </row>
    <row r="7491" spans="1:19" x14ac:dyDescent="0.25">
      <c r="A7491" s="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  <c r="P7491"/>
      <c r="Q7491"/>
      <c r="R7491"/>
      <c r="S7491"/>
    </row>
    <row r="7492" spans="1:19" x14ac:dyDescent="0.25">
      <c r="A7492" s="1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  <c r="P7492"/>
      <c r="Q7492"/>
      <c r="R7492"/>
      <c r="S7492"/>
    </row>
    <row r="7493" spans="1:19" x14ac:dyDescent="0.25">
      <c r="A7493" s="1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  <c r="P7493"/>
      <c r="Q7493"/>
      <c r="R7493"/>
      <c r="S7493"/>
    </row>
    <row r="7494" spans="1:19" x14ac:dyDescent="0.25">
      <c r="A7494" s="1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  <c r="P7494"/>
      <c r="Q7494"/>
      <c r="R7494"/>
      <c r="S7494"/>
    </row>
    <row r="7495" spans="1:19" x14ac:dyDescent="0.25">
      <c r="A7495" s="1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  <c r="P7495"/>
      <c r="Q7495"/>
      <c r="R7495"/>
      <c r="S7495"/>
    </row>
    <row r="7496" spans="1:19" x14ac:dyDescent="0.25">
      <c r="A7496" s="1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  <c r="P7496"/>
      <c r="Q7496"/>
      <c r="R7496"/>
      <c r="S7496"/>
    </row>
    <row r="7497" spans="1:19" x14ac:dyDescent="0.25">
      <c r="A7497" s="1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  <c r="P7497"/>
      <c r="Q7497"/>
      <c r="R7497"/>
      <c r="S7497"/>
    </row>
    <row r="7498" spans="1:19" x14ac:dyDescent="0.25">
      <c r="A7498" s="1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  <c r="P7498"/>
      <c r="Q7498"/>
      <c r="R7498"/>
      <c r="S7498"/>
    </row>
    <row r="7499" spans="1:19" x14ac:dyDescent="0.25">
      <c r="A7499" s="1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  <c r="P7499"/>
      <c r="Q7499"/>
      <c r="R7499"/>
      <c r="S7499"/>
    </row>
    <row r="7500" spans="1:19" x14ac:dyDescent="0.25">
      <c r="A7500" s="1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  <c r="P7500"/>
      <c r="Q7500"/>
      <c r="R7500"/>
      <c r="S7500"/>
    </row>
    <row r="7501" spans="1:19" x14ac:dyDescent="0.25">
      <c r="A7501" s="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  <c r="P7501"/>
      <c r="Q7501"/>
      <c r="R7501"/>
      <c r="S7501"/>
    </row>
    <row r="7502" spans="1:19" x14ac:dyDescent="0.25">
      <c r="A7502" s="1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  <c r="P7502"/>
      <c r="Q7502"/>
      <c r="R7502"/>
      <c r="S7502"/>
    </row>
    <row r="7503" spans="1:19" x14ac:dyDescent="0.25">
      <c r="A7503" s="1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  <c r="P7503"/>
      <c r="Q7503"/>
      <c r="R7503"/>
      <c r="S7503"/>
    </row>
    <row r="7504" spans="1:19" x14ac:dyDescent="0.25">
      <c r="A7504" s="1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  <c r="P7504"/>
      <c r="Q7504"/>
      <c r="R7504"/>
      <c r="S7504"/>
    </row>
    <row r="7505" spans="1:19" x14ac:dyDescent="0.25">
      <c r="A7505" s="1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  <c r="P7505"/>
      <c r="Q7505"/>
      <c r="R7505"/>
      <c r="S7505"/>
    </row>
    <row r="7506" spans="1:19" x14ac:dyDescent="0.25">
      <c r="A7506" s="1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  <c r="P7506"/>
      <c r="Q7506"/>
      <c r="R7506"/>
      <c r="S7506"/>
    </row>
    <row r="7507" spans="1:19" x14ac:dyDescent="0.25">
      <c r="A7507" s="1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  <c r="P7507"/>
      <c r="Q7507"/>
      <c r="R7507"/>
      <c r="S7507"/>
    </row>
    <row r="7508" spans="1:19" x14ac:dyDescent="0.25">
      <c r="A7508" s="1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  <c r="P7508"/>
      <c r="Q7508"/>
      <c r="R7508"/>
      <c r="S7508"/>
    </row>
    <row r="7509" spans="1:19" x14ac:dyDescent="0.25">
      <c r="A7509" s="1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  <c r="P7509"/>
      <c r="Q7509"/>
      <c r="R7509"/>
      <c r="S7509"/>
    </row>
    <row r="7510" spans="1:19" x14ac:dyDescent="0.25">
      <c r="A7510" s="1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  <c r="P7510"/>
      <c r="Q7510"/>
      <c r="R7510"/>
      <c r="S7510"/>
    </row>
    <row r="7511" spans="1:19" x14ac:dyDescent="0.25">
      <c r="A7511" s="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  <c r="P7511"/>
      <c r="Q7511"/>
      <c r="R7511"/>
      <c r="S7511"/>
    </row>
    <row r="7512" spans="1:19" x14ac:dyDescent="0.25">
      <c r="A7512" s="1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  <c r="P7512"/>
      <c r="Q7512"/>
      <c r="R7512"/>
      <c r="S7512"/>
    </row>
    <row r="7513" spans="1:19" x14ac:dyDescent="0.25">
      <c r="A7513" s="1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  <c r="P7513"/>
      <c r="Q7513"/>
      <c r="R7513"/>
      <c r="S7513"/>
    </row>
    <row r="7514" spans="1:19" x14ac:dyDescent="0.25">
      <c r="A7514" s="1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  <c r="P7514"/>
      <c r="Q7514"/>
      <c r="R7514"/>
      <c r="S7514"/>
    </row>
    <row r="7515" spans="1:19" x14ac:dyDescent="0.25">
      <c r="A7515" s="1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  <c r="P7515"/>
      <c r="Q7515"/>
      <c r="R7515"/>
      <c r="S7515"/>
    </row>
    <row r="7516" spans="1:19" x14ac:dyDescent="0.25">
      <c r="A7516" s="1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  <c r="P7516"/>
      <c r="Q7516"/>
      <c r="R7516"/>
      <c r="S7516"/>
    </row>
    <row r="7517" spans="1:19" x14ac:dyDescent="0.25">
      <c r="A7517" s="1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  <c r="P7517"/>
      <c r="Q7517"/>
      <c r="R7517"/>
      <c r="S7517"/>
    </row>
    <row r="7518" spans="1:19" x14ac:dyDescent="0.25">
      <c r="A7518" s="1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  <c r="P7518"/>
      <c r="Q7518"/>
      <c r="R7518"/>
      <c r="S7518"/>
    </row>
    <row r="7519" spans="1:19" x14ac:dyDescent="0.25">
      <c r="A7519" s="1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  <c r="P7519"/>
      <c r="Q7519"/>
      <c r="R7519"/>
      <c r="S7519"/>
    </row>
    <row r="7520" spans="1:19" x14ac:dyDescent="0.25">
      <c r="A7520" s="1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  <c r="P7520"/>
      <c r="Q7520"/>
      <c r="R7520"/>
      <c r="S7520"/>
    </row>
    <row r="7521" spans="1:19" x14ac:dyDescent="0.25">
      <c r="A7521" s="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  <c r="P7521"/>
      <c r="Q7521"/>
      <c r="R7521"/>
      <c r="S7521"/>
    </row>
    <row r="7522" spans="1:19" x14ac:dyDescent="0.25">
      <c r="A7522" s="1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  <c r="P7522"/>
      <c r="Q7522"/>
      <c r="R7522"/>
      <c r="S7522"/>
    </row>
    <row r="7523" spans="1:19" x14ac:dyDescent="0.25">
      <c r="A7523" s="1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  <c r="P7523"/>
      <c r="Q7523"/>
      <c r="R7523"/>
      <c r="S7523"/>
    </row>
    <row r="7524" spans="1:19" x14ac:dyDescent="0.25">
      <c r="A7524" s="1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  <c r="P7524"/>
      <c r="Q7524"/>
      <c r="R7524"/>
      <c r="S7524"/>
    </row>
    <row r="7525" spans="1:19" x14ac:dyDescent="0.25">
      <c r="A7525" s="1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  <c r="P7525"/>
      <c r="Q7525"/>
      <c r="R7525"/>
      <c r="S7525"/>
    </row>
    <row r="7526" spans="1:19" x14ac:dyDescent="0.25">
      <c r="A7526" s="1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  <c r="P7526"/>
      <c r="Q7526"/>
      <c r="R7526"/>
      <c r="S7526"/>
    </row>
    <row r="7527" spans="1:19" x14ac:dyDescent="0.25">
      <c r="A7527" s="1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  <c r="P7527"/>
      <c r="Q7527"/>
      <c r="R7527"/>
      <c r="S7527"/>
    </row>
    <row r="7528" spans="1:19" x14ac:dyDescent="0.25">
      <c r="A7528" s="1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  <c r="P7528"/>
      <c r="Q7528"/>
      <c r="R7528"/>
      <c r="S7528"/>
    </row>
    <row r="7529" spans="1:19" x14ac:dyDescent="0.25">
      <c r="A7529" s="1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  <c r="P7529"/>
      <c r="Q7529"/>
      <c r="R7529"/>
      <c r="S7529"/>
    </row>
    <row r="7530" spans="1:19" x14ac:dyDescent="0.25">
      <c r="A7530" s="1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  <c r="P7530"/>
      <c r="Q7530"/>
      <c r="R7530"/>
      <c r="S7530"/>
    </row>
    <row r="7531" spans="1:19" x14ac:dyDescent="0.25">
      <c r="A7531" s="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  <c r="P7531"/>
      <c r="Q7531"/>
      <c r="R7531"/>
      <c r="S7531"/>
    </row>
    <row r="7532" spans="1:19" x14ac:dyDescent="0.25">
      <c r="A7532" s="1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  <c r="P7532"/>
      <c r="Q7532"/>
      <c r="R7532"/>
      <c r="S7532"/>
    </row>
    <row r="7533" spans="1:19" x14ac:dyDescent="0.25">
      <c r="A7533" s="1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  <c r="P7533"/>
      <c r="Q7533"/>
      <c r="R7533"/>
      <c r="S7533"/>
    </row>
    <row r="7534" spans="1:19" x14ac:dyDescent="0.25">
      <c r="A7534" s="1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  <c r="P7534"/>
      <c r="Q7534"/>
      <c r="R7534"/>
      <c r="S7534"/>
    </row>
    <row r="7535" spans="1:19" x14ac:dyDescent="0.25">
      <c r="A7535" s="1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  <c r="P7535"/>
      <c r="Q7535"/>
      <c r="R7535"/>
      <c r="S7535"/>
    </row>
    <row r="7536" spans="1:19" x14ac:dyDescent="0.25">
      <c r="A7536" s="1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  <c r="P7536"/>
      <c r="Q7536"/>
      <c r="R7536"/>
      <c r="S7536"/>
    </row>
    <row r="7537" spans="1:19" x14ac:dyDescent="0.25">
      <c r="A7537" s="1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  <c r="P7537"/>
      <c r="Q7537"/>
      <c r="R7537"/>
      <c r="S7537"/>
    </row>
    <row r="7538" spans="1:19" x14ac:dyDescent="0.25">
      <c r="A7538" s="1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  <c r="P7538"/>
      <c r="Q7538"/>
      <c r="R7538"/>
      <c r="S7538"/>
    </row>
    <row r="7539" spans="1:19" x14ac:dyDescent="0.25">
      <c r="A7539" s="1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  <c r="P7539"/>
      <c r="Q7539"/>
      <c r="R7539"/>
      <c r="S7539"/>
    </row>
    <row r="7540" spans="1:19" x14ac:dyDescent="0.25">
      <c r="A7540" s="1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  <c r="P7540"/>
      <c r="Q7540"/>
      <c r="R7540"/>
      <c r="S7540"/>
    </row>
    <row r="7541" spans="1:19" x14ac:dyDescent="0.25">
      <c r="A7541" s="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  <c r="P7541"/>
      <c r="Q7541"/>
      <c r="R7541"/>
      <c r="S7541"/>
    </row>
    <row r="7542" spans="1:19" x14ac:dyDescent="0.25">
      <c r="A7542" s="1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  <c r="P7542"/>
      <c r="Q7542"/>
      <c r="R7542"/>
      <c r="S7542"/>
    </row>
    <row r="7543" spans="1:19" x14ac:dyDescent="0.25">
      <c r="A7543" s="1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  <c r="P7543"/>
      <c r="Q7543"/>
      <c r="R7543"/>
      <c r="S7543"/>
    </row>
    <row r="7544" spans="1:19" x14ac:dyDescent="0.25">
      <c r="A7544" s="1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  <c r="P7544"/>
      <c r="Q7544"/>
      <c r="R7544"/>
      <c r="S7544"/>
    </row>
    <row r="7545" spans="1:19" x14ac:dyDescent="0.25">
      <c r="A7545" s="1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  <c r="P7545"/>
      <c r="Q7545"/>
      <c r="R7545"/>
      <c r="S7545"/>
    </row>
    <row r="7546" spans="1:19" x14ac:dyDescent="0.25">
      <c r="A7546" s="1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  <c r="P7546"/>
      <c r="Q7546"/>
      <c r="R7546"/>
      <c r="S7546"/>
    </row>
    <row r="7547" spans="1:19" x14ac:dyDescent="0.25">
      <c r="A7547" s="1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  <c r="P7547"/>
      <c r="Q7547"/>
      <c r="R7547"/>
      <c r="S7547"/>
    </row>
    <row r="7548" spans="1:19" x14ac:dyDescent="0.25">
      <c r="A7548" s="1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  <c r="P7548"/>
      <c r="Q7548"/>
      <c r="R7548"/>
      <c r="S7548"/>
    </row>
    <row r="7549" spans="1:19" x14ac:dyDescent="0.25">
      <c r="A7549" s="1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  <c r="P7549"/>
      <c r="Q7549"/>
      <c r="R7549"/>
      <c r="S7549"/>
    </row>
    <row r="7550" spans="1:19" x14ac:dyDescent="0.25">
      <c r="A7550" s="1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  <c r="P7550"/>
      <c r="Q7550"/>
      <c r="R7550"/>
      <c r="S7550"/>
    </row>
    <row r="7551" spans="1:19" x14ac:dyDescent="0.25">
      <c r="A7551" s="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  <c r="P7551"/>
      <c r="Q7551"/>
      <c r="R7551"/>
      <c r="S7551"/>
    </row>
    <row r="7552" spans="1:19" x14ac:dyDescent="0.25">
      <c r="A7552" s="1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  <c r="P7552"/>
      <c r="Q7552"/>
      <c r="R7552"/>
      <c r="S7552"/>
    </row>
    <row r="7553" spans="1:19" x14ac:dyDescent="0.25">
      <c r="A7553" s="1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  <c r="P7553"/>
      <c r="Q7553"/>
      <c r="R7553"/>
      <c r="S7553"/>
    </row>
    <row r="7554" spans="1:19" x14ac:dyDescent="0.25">
      <c r="A7554" s="1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  <c r="P7554"/>
      <c r="Q7554"/>
      <c r="R7554"/>
      <c r="S7554"/>
    </row>
    <row r="7555" spans="1:19" x14ac:dyDescent="0.25">
      <c r="A7555" s="1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  <c r="P7555"/>
      <c r="Q7555"/>
      <c r="R7555"/>
      <c r="S7555"/>
    </row>
    <row r="7556" spans="1:19" x14ac:dyDescent="0.25">
      <c r="A7556" s="1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  <c r="P7556"/>
      <c r="Q7556"/>
      <c r="R7556"/>
      <c r="S7556"/>
    </row>
    <row r="7557" spans="1:19" x14ac:dyDescent="0.25">
      <c r="A7557" s="1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  <c r="P7557"/>
      <c r="Q7557"/>
      <c r="R7557"/>
      <c r="S7557"/>
    </row>
    <row r="7558" spans="1:19" x14ac:dyDescent="0.25">
      <c r="A7558" s="1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  <c r="P7558"/>
      <c r="Q7558"/>
      <c r="R7558"/>
      <c r="S7558"/>
    </row>
    <row r="7559" spans="1:19" x14ac:dyDescent="0.25">
      <c r="A7559" s="1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  <c r="P7559"/>
      <c r="Q7559"/>
      <c r="R7559"/>
      <c r="S7559"/>
    </row>
    <row r="7560" spans="1:19" x14ac:dyDescent="0.25">
      <c r="A7560" s="1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  <c r="P7560"/>
      <c r="Q7560"/>
      <c r="R7560"/>
      <c r="S7560"/>
    </row>
    <row r="7561" spans="1:19" x14ac:dyDescent="0.25">
      <c r="A7561" s="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  <c r="P7561"/>
      <c r="Q7561"/>
      <c r="R7561"/>
      <c r="S7561"/>
    </row>
    <row r="7562" spans="1:19" x14ac:dyDescent="0.25">
      <c r="A7562" s="1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  <c r="P7562"/>
      <c r="Q7562"/>
      <c r="R7562"/>
      <c r="S7562"/>
    </row>
    <row r="7563" spans="1:19" x14ac:dyDescent="0.25">
      <c r="A7563" s="1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  <c r="P7563"/>
      <c r="Q7563"/>
      <c r="R7563"/>
      <c r="S7563"/>
    </row>
    <row r="7564" spans="1:19" x14ac:dyDescent="0.25">
      <c r="A7564" s="1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  <c r="P7564"/>
      <c r="Q7564"/>
      <c r="R7564"/>
      <c r="S7564"/>
    </row>
    <row r="7565" spans="1:19" x14ac:dyDescent="0.25">
      <c r="A7565" s="1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  <c r="P7565"/>
      <c r="Q7565"/>
      <c r="R7565"/>
      <c r="S7565"/>
    </row>
    <row r="7566" spans="1:19" x14ac:dyDescent="0.25">
      <c r="A7566" s="1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  <c r="P7566"/>
      <c r="Q7566"/>
      <c r="R7566"/>
      <c r="S7566"/>
    </row>
    <row r="7567" spans="1:19" x14ac:dyDescent="0.25">
      <c r="A7567" s="1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  <c r="P7567"/>
      <c r="Q7567"/>
      <c r="R7567"/>
      <c r="S7567"/>
    </row>
    <row r="7568" spans="1:19" x14ac:dyDescent="0.25">
      <c r="A7568" s="1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  <c r="P7568"/>
      <c r="Q7568"/>
      <c r="R7568"/>
      <c r="S7568"/>
    </row>
    <row r="7569" spans="1:19" x14ac:dyDescent="0.25">
      <c r="A7569" s="1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  <c r="P7569"/>
      <c r="Q7569"/>
      <c r="R7569"/>
      <c r="S7569"/>
    </row>
    <row r="7570" spans="1:19" x14ac:dyDescent="0.25">
      <c r="A7570" s="1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  <c r="P7570"/>
      <c r="Q7570"/>
      <c r="R7570"/>
      <c r="S7570"/>
    </row>
    <row r="7571" spans="1:19" x14ac:dyDescent="0.25">
      <c r="A7571" s="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  <c r="P7571"/>
      <c r="Q7571"/>
      <c r="R7571"/>
      <c r="S7571"/>
    </row>
    <row r="7572" spans="1:19" x14ac:dyDescent="0.25">
      <c r="A7572" s="1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  <c r="P7572"/>
      <c r="Q7572"/>
      <c r="R7572"/>
      <c r="S7572"/>
    </row>
    <row r="7573" spans="1:19" x14ac:dyDescent="0.25">
      <c r="A7573" s="1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  <c r="P7573"/>
      <c r="Q7573"/>
      <c r="R7573"/>
      <c r="S7573"/>
    </row>
    <row r="7574" spans="1:19" x14ac:dyDescent="0.25">
      <c r="A7574" s="1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  <c r="P7574"/>
      <c r="Q7574"/>
      <c r="R7574"/>
      <c r="S7574"/>
    </row>
    <row r="7575" spans="1:19" x14ac:dyDescent="0.25">
      <c r="A7575" s="1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  <c r="P7575"/>
      <c r="Q7575"/>
      <c r="R7575"/>
      <c r="S7575"/>
    </row>
    <row r="7576" spans="1:19" x14ac:dyDescent="0.25">
      <c r="A7576" s="1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  <c r="P7576"/>
      <c r="Q7576"/>
      <c r="R7576"/>
      <c r="S7576"/>
    </row>
    <row r="7577" spans="1:19" x14ac:dyDescent="0.25">
      <c r="A7577" s="1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  <c r="P7577"/>
      <c r="Q7577"/>
      <c r="R7577"/>
      <c r="S7577"/>
    </row>
    <row r="7578" spans="1:19" x14ac:dyDescent="0.25">
      <c r="A7578" s="1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  <c r="P7578"/>
      <c r="Q7578"/>
      <c r="R7578"/>
      <c r="S7578"/>
    </row>
    <row r="7579" spans="1:19" x14ac:dyDescent="0.25">
      <c r="A7579" s="1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  <c r="P7579"/>
      <c r="Q7579"/>
      <c r="R7579"/>
      <c r="S7579"/>
    </row>
    <row r="7580" spans="1:19" x14ac:dyDescent="0.25">
      <c r="A7580" s="1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  <c r="P7580"/>
      <c r="Q7580"/>
      <c r="R7580"/>
      <c r="S7580"/>
    </row>
    <row r="7581" spans="1:19" x14ac:dyDescent="0.25">
      <c r="A7581" s="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  <c r="P7581"/>
      <c r="Q7581"/>
      <c r="R7581"/>
      <c r="S7581"/>
    </row>
    <row r="7582" spans="1:19" x14ac:dyDescent="0.25">
      <c r="A7582" s="1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  <c r="P7582"/>
      <c r="Q7582"/>
      <c r="R7582"/>
      <c r="S7582"/>
    </row>
    <row r="7583" spans="1:19" x14ac:dyDescent="0.25">
      <c r="A7583" s="1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  <c r="P7583"/>
      <c r="Q7583"/>
      <c r="R7583"/>
      <c r="S7583"/>
    </row>
    <row r="7584" spans="1:19" x14ac:dyDescent="0.25">
      <c r="A7584" s="1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  <c r="P7584"/>
      <c r="Q7584"/>
      <c r="R7584"/>
      <c r="S7584"/>
    </row>
    <row r="7585" spans="1:19" x14ac:dyDescent="0.25">
      <c r="A7585" s="1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  <c r="P7585"/>
      <c r="Q7585"/>
      <c r="R7585"/>
      <c r="S7585"/>
    </row>
    <row r="7586" spans="1:19" x14ac:dyDescent="0.25">
      <c r="A7586" s="1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  <c r="P7586"/>
      <c r="Q7586"/>
      <c r="R7586"/>
      <c r="S7586"/>
    </row>
    <row r="7587" spans="1:19" x14ac:dyDescent="0.25">
      <c r="A7587" s="1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  <c r="P7587"/>
      <c r="Q7587"/>
      <c r="R7587"/>
      <c r="S7587"/>
    </row>
    <row r="7588" spans="1:19" x14ac:dyDescent="0.25">
      <c r="A7588" s="1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  <c r="P7588"/>
      <c r="Q7588"/>
      <c r="R7588"/>
      <c r="S7588"/>
    </row>
    <row r="7589" spans="1:19" x14ac:dyDescent="0.25">
      <c r="A7589" s="1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  <c r="P7589"/>
      <c r="Q7589"/>
      <c r="R7589"/>
      <c r="S7589"/>
    </row>
    <row r="7590" spans="1:19" x14ac:dyDescent="0.25">
      <c r="A7590" s="1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  <c r="P7590"/>
      <c r="Q7590"/>
      <c r="R7590"/>
      <c r="S7590"/>
    </row>
    <row r="7591" spans="1:19" x14ac:dyDescent="0.25">
      <c r="A7591" s="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  <c r="P7591"/>
      <c r="Q7591"/>
      <c r="R7591"/>
      <c r="S7591"/>
    </row>
    <row r="7592" spans="1:19" x14ac:dyDescent="0.25">
      <c r="A7592" s="1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  <c r="P7592"/>
      <c r="Q7592"/>
      <c r="R7592"/>
      <c r="S7592"/>
    </row>
    <row r="7593" spans="1:19" x14ac:dyDescent="0.25">
      <c r="A7593" s="1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  <c r="P7593"/>
      <c r="Q7593"/>
      <c r="R7593"/>
      <c r="S7593"/>
    </row>
    <row r="7594" spans="1:19" x14ac:dyDescent="0.25">
      <c r="A7594" s="1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  <c r="P7594"/>
      <c r="Q7594"/>
      <c r="R7594"/>
      <c r="S7594"/>
    </row>
    <row r="7595" spans="1:19" x14ac:dyDescent="0.25">
      <c r="A7595" s="1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  <c r="P7595"/>
      <c r="Q7595"/>
      <c r="R7595"/>
      <c r="S7595"/>
    </row>
    <row r="7596" spans="1:19" x14ac:dyDescent="0.25">
      <c r="A7596" s="1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  <c r="P7596"/>
      <c r="Q7596"/>
      <c r="R7596"/>
      <c r="S7596"/>
    </row>
    <row r="7597" spans="1:19" x14ac:dyDescent="0.25">
      <c r="A7597" s="1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  <c r="P7597"/>
      <c r="Q7597"/>
      <c r="R7597"/>
      <c r="S7597"/>
    </row>
    <row r="7598" spans="1:19" x14ac:dyDescent="0.25">
      <c r="A7598" s="1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  <c r="P7598"/>
      <c r="Q7598"/>
      <c r="R7598"/>
      <c r="S7598"/>
    </row>
    <row r="7599" spans="1:19" x14ac:dyDescent="0.25">
      <c r="A7599" s="1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  <c r="P7599"/>
      <c r="Q7599"/>
      <c r="R7599"/>
      <c r="S7599"/>
    </row>
    <row r="7600" spans="1:19" x14ac:dyDescent="0.25">
      <c r="A7600" s="1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  <c r="P7600"/>
      <c r="Q7600"/>
      <c r="R7600"/>
      <c r="S7600"/>
    </row>
    <row r="7601" spans="1:19" x14ac:dyDescent="0.25">
      <c r="A7601" s="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  <c r="P7601"/>
      <c r="Q7601"/>
      <c r="R7601"/>
      <c r="S7601"/>
    </row>
    <row r="7602" spans="1:19" x14ac:dyDescent="0.25">
      <c r="A7602" s="1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  <c r="P7602"/>
      <c r="Q7602"/>
      <c r="R7602"/>
      <c r="S7602"/>
    </row>
    <row r="7603" spans="1:19" x14ac:dyDescent="0.25">
      <c r="A7603" s="1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  <c r="P7603"/>
      <c r="Q7603"/>
      <c r="R7603"/>
      <c r="S7603"/>
    </row>
    <row r="7604" spans="1:19" x14ac:dyDescent="0.25">
      <c r="A7604" s="1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  <c r="P7604"/>
      <c r="Q7604"/>
      <c r="R7604"/>
      <c r="S7604"/>
    </row>
    <row r="7605" spans="1:19" x14ac:dyDescent="0.25">
      <c r="A7605" s="1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  <c r="P7605"/>
      <c r="Q7605"/>
      <c r="R7605"/>
      <c r="S7605"/>
    </row>
    <row r="7606" spans="1:19" x14ac:dyDescent="0.25">
      <c r="A7606" s="1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  <c r="P7606"/>
      <c r="Q7606"/>
      <c r="R7606"/>
      <c r="S7606"/>
    </row>
    <row r="7607" spans="1:19" x14ac:dyDescent="0.25">
      <c r="A7607" s="1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  <c r="P7607"/>
      <c r="Q7607"/>
      <c r="R7607"/>
      <c r="S7607"/>
    </row>
    <row r="7608" spans="1:19" x14ac:dyDescent="0.25">
      <c r="A7608" s="1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  <c r="P7608"/>
      <c r="Q7608"/>
      <c r="R7608"/>
      <c r="S7608"/>
    </row>
    <row r="7609" spans="1:19" x14ac:dyDescent="0.25">
      <c r="A7609" s="1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  <c r="P7609"/>
      <c r="Q7609"/>
      <c r="R7609"/>
      <c r="S7609"/>
    </row>
    <row r="7610" spans="1:19" x14ac:dyDescent="0.25">
      <c r="A7610" s="1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  <c r="P7610"/>
      <c r="Q7610"/>
      <c r="R7610"/>
      <c r="S7610"/>
    </row>
    <row r="7611" spans="1:19" x14ac:dyDescent="0.25">
      <c r="A7611" s="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  <c r="P7611"/>
      <c r="Q7611"/>
      <c r="R7611"/>
      <c r="S7611"/>
    </row>
    <row r="7612" spans="1:19" x14ac:dyDescent="0.25">
      <c r="A7612" s="1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  <c r="P7612"/>
      <c r="Q7612"/>
      <c r="R7612"/>
      <c r="S7612"/>
    </row>
    <row r="7613" spans="1:19" x14ac:dyDescent="0.25">
      <c r="A7613" s="1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  <c r="P7613"/>
      <c r="Q7613"/>
      <c r="R7613"/>
      <c r="S7613"/>
    </row>
    <row r="7614" spans="1:19" x14ac:dyDescent="0.25">
      <c r="A7614" s="1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  <c r="P7614"/>
      <c r="Q7614"/>
      <c r="R7614"/>
      <c r="S7614"/>
    </row>
    <row r="7615" spans="1:19" x14ac:dyDescent="0.25">
      <c r="A7615" s="1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  <c r="P7615"/>
      <c r="Q7615"/>
      <c r="R7615"/>
      <c r="S7615"/>
    </row>
    <row r="7616" spans="1:19" x14ac:dyDescent="0.25">
      <c r="A7616" s="1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  <c r="P7616"/>
      <c r="Q7616"/>
      <c r="R7616"/>
      <c r="S7616"/>
    </row>
    <row r="7617" spans="1:19" x14ac:dyDescent="0.25">
      <c r="A7617" s="1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  <c r="P7617"/>
      <c r="Q7617"/>
      <c r="R7617"/>
      <c r="S7617"/>
    </row>
    <row r="7618" spans="1:19" x14ac:dyDescent="0.25">
      <c r="A7618" s="1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  <c r="P7618"/>
      <c r="Q7618"/>
      <c r="R7618"/>
      <c r="S7618"/>
    </row>
    <row r="7619" spans="1:19" x14ac:dyDescent="0.25">
      <c r="A7619" s="1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  <c r="P7619"/>
      <c r="Q7619"/>
      <c r="R7619"/>
      <c r="S7619"/>
    </row>
    <row r="7620" spans="1:19" x14ac:dyDescent="0.25">
      <c r="A7620" s="1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  <c r="P7620"/>
      <c r="Q7620"/>
      <c r="R7620"/>
      <c r="S7620"/>
    </row>
    <row r="7621" spans="1:19" x14ac:dyDescent="0.25">
      <c r="A7621" s="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  <c r="P7621"/>
      <c r="Q7621"/>
      <c r="R7621"/>
      <c r="S7621"/>
    </row>
    <row r="7622" spans="1:19" x14ac:dyDescent="0.25">
      <c r="A7622" s="1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  <c r="P7622"/>
      <c r="Q7622"/>
      <c r="R7622"/>
      <c r="S7622"/>
    </row>
    <row r="7623" spans="1:19" x14ac:dyDescent="0.25">
      <c r="A7623" s="1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  <c r="P7623"/>
      <c r="Q7623"/>
      <c r="R7623"/>
      <c r="S7623"/>
    </row>
    <row r="7624" spans="1:19" x14ac:dyDescent="0.25">
      <c r="A7624" s="1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  <c r="P7624"/>
      <c r="Q7624"/>
      <c r="R7624"/>
      <c r="S7624"/>
    </row>
    <row r="7625" spans="1:19" x14ac:dyDescent="0.25">
      <c r="A7625" s="1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  <c r="P7625"/>
      <c r="Q7625"/>
      <c r="R7625"/>
      <c r="S7625"/>
    </row>
    <row r="7626" spans="1:19" x14ac:dyDescent="0.25">
      <c r="A7626" s="1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  <c r="P7626"/>
      <c r="Q7626"/>
      <c r="R7626"/>
      <c r="S7626"/>
    </row>
    <row r="7627" spans="1:19" x14ac:dyDescent="0.25">
      <c r="A7627" s="1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  <c r="P7627"/>
      <c r="Q7627"/>
      <c r="R7627"/>
      <c r="S7627"/>
    </row>
    <row r="7628" spans="1:19" x14ac:dyDescent="0.25">
      <c r="A7628" s="1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  <c r="P7628"/>
      <c r="Q7628"/>
      <c r="R7628"/>
      <c r="S7628"/>
    </row>
    <row r="7629" spans="1:19" x14ac:dyDescent="0.25">
      <c r="A7629" s="1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  <c r="P7629"/>
      <c r="Q7629"/>
      <c r="R7629"/>
      <c r="S7629"/>
    </row>
    <row r="7630" spans="1:19" x14ac:dyDescent="0.25">
      <c r="A7630" s="1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  <c r="P7630"/>
      <c r="Q7630"/>
      <c r="R7630"/>
      <c r="S7630"/>
    </row>
    <row r="7631" spans="1:19" x14ac:dyDescent="0.25">
      <c r="A7631" s="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  <c r="P7631"/>
      <c r="Q7631"/>
      <c r="R7631"/>
      <c r="S7631"/>
    </row>
    <row r="7632" spans="1:19" x14ac:dyDescent="0.25">
      <c r="A7632" s="1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  <c r="P7632"/>
      <c r="Q7632"/>
      <c r="R7632"/>
      <c r="S7632"/>
    </row>
    <row r="7633" spans="1:19" x14ac:dyDescent="0.25">
      <c r="A7633" s="1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  <c r="P7633"/>
      <c r="Q7633"/>
      <c r="R7633"/>
      <c r="S7633"/>
    </row>
    <row r="7634" spans="1:19" x14ac:dyDescent="0.25">
      <c r="A7634" s="1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  <c r="P7634"/>
      <c r="Q7634"/>
      <c r="R7634"/>
      <c r="S7634"/>
    </row>
    <row r="7635" spans="1:19" x14ac:dyDescent="0.25">
      <c r="A7635" s="1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  <c r="P7635"/>
      <c r="Q7635"/>
      <c r="R7635"/>
      <c r="S7635"/>
    </row>
    <row r="7636" spans="1:19" x14ac:dyDescent="0.25">
      <c r="A7636" s="1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  <c r="P7636"/>
      <c r="Q7636"/>
      <c r="R7636"/>
      <c r="S7636"/>
    </row>
    <row r="7637" spans="1:19" x14ac:dyDescent="0.25">
      <c r="A7637" s="1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  <c r="P7637"/>
      <c r="Q7637"/>
      <c r="R7637"/>
      <c r="S7637"/>
    </row>
    <row r="7638" spans="1:19" x14ac:dyDescent="0.25">
      <c r="A7638" s="1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  <c r="P7638"/>
      <c r="Q7638"/>
      <c r="R7638"/>
      <c r="S7638"/>
    </row>
    <row r="7639" spans="1:19" x14ac:dyDescent="0.25">
      <c r="A7639" s="1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  <c r="P7639"/>
      <c r="Q7639"/>
      <c r="R7639"/>
      <c r="S7639"/>
    </row>
    <row r="7640" spans="1:19" x14ac:dyDescent="0.25">
      <c r="A7640" s="1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  <c r="P7640"/>
      <c r="Q7640"/>
      <c r="R7640"/>
      <c r="S7640"/>
    </row>
    <row r="7641" spans="1:19" x14ac:dyDescent="0.25">
      <c r="A7641" s="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  <c r="P7641"/>
      <c r="Q7641"/>
      <c r="R7641"/>
      <c r="S7641"/>
    </row>
    <row r="7642" spans="1:19" x14ac:dyDescent="0.25">
      <c r="A7642" s="1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  <c r="P7642"/>
      <c r="Q7642"/>
      <c r="R7642"/>
      <c r="S7642"/>
    </row>
    <row r="7643" spans="1:19" x14ac:dyDescent="0.25">
      <c r="A7643" s="1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  <c r="P7643"/>
      <c r="Q7643"/>
      <c r="R7643"/>
      <c r="S7643"/>
    </row>
    <row r="7644" spans="1:19" x14ac:dyDescent="0.25">
      <c r="A7644" s="1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  <c r="P7644"/>
      <c r="Q7644"/>
      <c r="R7644"/>
      <c r="S7644"/>
    </row>
    <row r="7645" spans="1:19" x14ac:dyDescent="0.25">
      <c r="A7645" s="1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  <c r="P7645"/>
      <c r="Q7645"/>
      <c r="R7645"/>
      <c r="S7645"/>
    </row>
    <row r="7646" spans="1:19" x14ac:dyDescent="0.25">
      <c r="A7646" s="1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  <c r="P7646"/>
      <c r="Q7646"/>
      <c r="R7646"/>
      <c r="S7646"/>
    </row>
    <row r="7647" spans="1:19" x14ac:dyDescent="0.25">
      <c r="A7647" s="1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  <c r="P7647"/>
      <c r="Q7647"/>
      <c r="R7647"/>
      <c r="S7647"/>
    </row>
    <row r="7648" spans="1:19" x14ac:dyDescent="0.25">
      <c r="A7648" s="1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  <c r="P7648"/>
      <c r="Q7648"/>
      <c r="R7648"/>
      <c r="S7648"/>
    </row>
    <row r="7649" spans="1:19" x14ac:dyDescent="0.25">
      <c r="A7649" s="1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  <c r="P7649"/>
      <c r="Q7649"/>
      <c r="R7649"/>
      <c r="S7649"/>
    </row>
    <row r="7650" spans="1:19" x14ac:dyDescent="0.25">
      <c r="A7650" s="1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  <c r="P7650"/>
      <c r="Q7650"/>
      <c r="R7650"/>
      <c r="S7650"/>
    </row>
    <row r="7651" spans="1:19" x14ac:dyDescent="0.25">
      <c r="A7651" s="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  <c r="P7651"/>
      <c r="Q7651"/>
      <c r="R7651"/>
      <c r="S7651"/>
    </row>
    <row r="7652" spans="1:19" x14ac:dyDescent="0.25">
      <c r="A7652" s="1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  <c r="P7652"/>
      <c r="Q7652"/>
      <c r="R7652"/>
      <c r="S7652"/>
    </row>
    <row r="7653" spans="1:19" x14ac:dyDescent="0.25">
      <c r="A7653" s="1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  <c r="P7653"/>
      <c r="Q7653"/>
      <c r="R7653"/>
      <c r="S7653"/>
    </row>
    <row r="7654" spans="1:19" x14ac:dyDescent="0.25">
      <c r="A7654" s="1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  <c r="P7654"/>
      <c r="Q7654"/>
      <c r="R7654"/>
      <c r="S7654"/>
    </row>
    <row r="7655" spans="1:19" x14ac:dyDescent="0.25">
      <c r="A7655" s="1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  <c r="P7655"/>
      <c r="Q7655"/>
      <c r="R7655"/>
      <c r="S7655"/>
    </row>
    <row r="7656" spans="1:19" x14ac:dyDescent="0.25">
      <c r="A7656" s="1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  <c r="P7656"/>
      <c r="Q7656"/>
      <c r="R7656"/>
      <c r="S7656"/>
    </row>
    <row r="7657" spans="1:19" x14ac:dyDescent="0.25">
      <c r="A7657" s="1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  <c r="P7657"/>
      <c r="Q7657"/>
      <c r="R7657"/>
      <c r="S7657"/>
    </row>
    <row r="7658" spans="1:19" x14ac:dyDescent="0.25">
      <c r="A7658" s="1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  <c r="P7658"/>
      <c r="Q7658"/>
      <c r="R7658"/>
      <c r="S7658"/>
    </row>
    <row r="7659" spans="1:19" x14ac:dyDescent="0.25">
      <c r="A7659" s="1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  <c r="P7659"/>
      <c r="Q7659"/>
      <c r="R7659"/>
      <c r="S7659"/>
    </row>
    <row r="7660" spans="1:19" x14ac:dyDescent="0.25">
      <c r="A7660" s="1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  <c r="P7660"/>
      <c r="Q7660"/>
      <c r="R7660"/>
      <c r="S7660"/>
    </row>
    <row r="7661" spans="1:19" x14ac:dyDescent="0.25">
      <c r="A7661" s="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  <c r="P7661"/>
      <c r="Q7661"/>
      <c r="R7661"/>
      <c r="S7661"/>
    </row>
    <row r="7662" spans="1:19" x14ac:dyDescent="0.25">
      <c r="A7662" s="1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  <c r="P7662"/>
      <c r="Q7662"/>
      <c r="R7662"/>
      <c r="S7662"/>
    </row>
    <row r="7663" spans="1:19" x14ac:dyDescent="0.25">
      <c r="A7663" s="1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  <c r="P7663"/>
      <c r="Q7663"/>
      <c r="R7663"/>
      <c r="S7663"/>
    </row>
    <row r="7664" spans="1:19" x14ac:dyDescent="0.25">
      <c r="A7664" s="1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  <c r="P7664"/>
      <c r="Q7664"/>
      <c r="R7664"/>
      <c r="S7664"/>
    </row>
    <row r="7665" spans="1:19" x14ac:dyDescent="0.25">
      <c r="A7665" s="1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  <c r="P7665"/>
      <c r="Q7665"/>
      <c r="R7665"/>
      <c r="S7665"/>
    </row>
    <row r="7666" spans="1:19" x14ac:dyDescent="0.25">
      <c r="A7666" s="1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  <c r="P7666"/>
      <c r="Q7666"/>
      <c r="R7666"/>
      <c r="S7666"/>
    </row>
    <row r="7667" spans="1:19" x14ac:dyDescent="0.25">
      <c r="A7667" s="1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  <c r="P7667"/>
      <c r="Q7667"/>
      <c r="R7667"/>
      <c r="S7667"/>
    </row>
    <row r="7668" spans="1:19" x14ac:dyDescent="0.25">
      <c r="A7668" s="1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  <c r="P7668"/>
      <c r="Q7668"/>
      <c r="R7668"/>
      <c r="S7668"/>
    </row>
    <row r="7669" spans="1:19" x14ac:dyDescent="0.25">
      <c r="A7669" s="1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  <c r="P7669"/>
      <c r="Q7669"/>
      <c r="R7669"/>
      <c r="S7669"/>
    </row>
    <row r="7670" spans="1:19" x14ac:dyDescent="0.25">
      <c r="A7670" s="1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  <c r="P7670"/>
      <c r="Q7670"/>
      <c r="R7670"/>
      <c r="S7670"/>
    </row>
    <row r="7671" spans="1:19" x14ac:dyDescent="0.25">
      <c r="A7671" s="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  <c r="P7671"/>
      <c r="Q7671"/>
      <c r="R7671"/>
      <c r="S7671"/>
    </row>
    <row r="7672" spans="1:19" x14ac:dyDescent="0.25">
      <c r="A7672" s="1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  <c r="P7672"/>
      <c r="Q7672"/>
      <c r="R7672"/>
      <c r="S7672"/>
    </row>
    <row r="7673" spans="1:19" x14ac:dyDescent="0.25">
      <c r="A7673" s="1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  <c r="P7673"/>
      <c r="Q7673"/>
      <c r="R7673"/>
      <c r="S7673"/>
    </row>
    <row r="7674" spans="1:19" x14ac:dyDescent="0.25">
      <c r="A7674" s="1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  <c r="P7674"/>
      <c r="Q7674"/>
      <c r="R7674"/>
      <c r="S7674"/>
    </row>
    <row r="7675" spans="1:19" x14ac:dyDescent="0.25">
      <c r="A7675" s="1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  <c r="P7675"/>
      <c r="Q7675"/>
      <c r="R7675"/>
      <c r="S7675"/>
    </row>
    <row r="7676" spans="1:19" x14ac:dyDescent="0.25">
      <c r="A7676" s="1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  <c r="P7676"/>
      <c r="Q7676"/>
      <c r="R7676"/>
      <c r="S7676"/>
    </row>
    <row r="7677" spans="1:19" x14ac:dyDescent="0.25">
      <c r="A7677" s="1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  <c r="P7677"/>
      <c r="Q7677"/>
      <c r="R7677"/>
      <c r="S7677"/>
    </row>
    <row r="7678" spans="1:19" x14ac:dyDescent="0.25">
      <c r="A7678" s="1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  <c r="P7678"/>
      <c r="Q7678"/>
      <c r="R7678"/>
      <c r="S7678"/>
    </row>
    <row r="7679" spans="1:19" x14ac:dyDescent="0.25">
      <c r="A7679" s="1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  <c r="P7679"/>
      <c r="Q7679"/>
      <c r="R7679"/>
      <c r="S7679"/>
    </row>
    <row r="7680" spans="1:19" x14ac:dyDescent="0.25">
      <c r="A7680" s="1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  <c r="P7680"/>
      <c r="Q7680"/>
      <c r="R7680"/>
      <c r="S7680"/>
    </row>
    <row r="7681" spans="1:19" x14ac:dyDescent="0.25">
      <c r="A7681" s="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  <c r="P7681"/>
      <c r="Q7681"/>
      <c r="R7681"/>
      <c r="S7681"/>
    </row>
    <row r="7682" spans="1:19" x14ac:dyDescent="0.25">
      <c r="A7682" s="1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  <c r="P7682"/>
      <c r="Q7682"/>
      <c r="R7682"/>
      <c r="S7682"/>
    </row>
    <row r="7683" spans="1:19" x14ac:dyDescent="0.25">
      <c r="A7683" s="1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  <c r="P7683"/>
      <c r="Q7683"/>
      <c r="R7683"/>
      <c r="S7683"/>
    </row>
    <row r="7684" spans="1:19" x14ac:dyDescent="0.25">
      <c r="A7684" s="1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  <c r="P7684"/>
      <c r="Q7684"/>
      <c r="R7684"/>
      <c r="S7684"/>
    </row>
    <row r="7685" spans="1:19" x14ac:dyDescent="0.25">
      <c r="A7685" s="1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  <c r="P7685"/>
      <c r="Q7685"/>
      <c r="R7685"/>
      <c r="S7685"/>
    </row>
    <row r="7686" spans="1:19" x14ac:dyDescent="0.25">
      <c r="A7686" s="1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  <c r="P7686"/>
      <c r="Q7686"/>
      <c r="R7686"/>
      <c r="S7686"/>
    </row>
    <row r="7687" spans="1:19" x14ac:dyDescent="0.25">
      <c r="A7687" s="1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  <c r="P7687"/>
      <c r="Q7687"/>
      <c r="R7687"/>
      <c r="S7687"/>
    </row>
    <row r="7688" spans="1:19" x14ac:dyDescent="0.25">
      <c r="A7688" s="1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  <c r="P7688"/>
      <c r="Q7688"/>
      <c r="R7688"/>
      <c r="S7688"/>
    </row>
    <row r="7689" spans="1:19" x14ac:dyDescent="0.25">
      <c r="A7689" s="1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  <c r="P7689"/>
      <c r="Q7689"/>
      <c r="R7689"/>
      <c r="S7689"/>
    </row>
    <row r="7690" spans="1:19" x14ac:dyDescent="0.25">
      <c r="A7690" s="1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  <c r="P7690"/>
      <c r="Q7690"/>
      <c r="R7690"/>
      <c r="S7690"/>
    </row>
    <row r="7691" spans="1:19" x14ac:dyDescent="0.25">
      <c r="A7691" s="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  <c r="P7691"/>
      <c r="Q7691"/>
      <c r="R7691"/>
      <c r="S7691"/>
    </row>
    <row r="7692" spans="1:19" x14ac:dyDescent="0.25">
      <c r="A7692" s="1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  <c r="P7692"/>
      <c r="Q7692"/>
      <c r="R7692"/>
      <c r="S7692"/>
    </row>
    <row r="7693" spans="1:19" x14ac:dyDescent="0.25">
      <c r="A7693" s="1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  <c r="P7693"/>
      <c r="Q7693"/>
      <c r="R7693"/>
      <c r="S7693"/>
    </row>
    <row r="7694" spans="1:19" x14ac:dyDescent="0.25">
      <c r="A7694" s="1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  <c r="P7694"/>
      <c r="Q7694"/>
      <c r="R7694"/>
      <c r="S7694"/>
    </row>
    <row r="7695" spans="1:19" x14ac:dyDescent="0.25">
      <c r="A7695" s="1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  <c r="P7695"/>
      <c r="Q7695"/>
      <c r="R7695"/>
      <c r="S7695"/>
    </row>
    <row r="7696" spans="1:19" x14ac:dyDescent="0.25">
      <c r="A7696" s="1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  <c r="P7696"/>
      <c r="Q7696"/>
      <c r="R7696"/>
      <c r="S7696"/>
    </row>
    <row r="7697" spans="1:19" x14ac:dyDescent="0.25">
      <c r="A7697" s="1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  <c r="P7697"/>
      <c r="Q7697"/>
      <c r="R7697"/>
      <c r="S7697"/>
    </row>
    <row r="7698" spans="1:19" x14ac:dyDescent="0.25">
      <c r="A7698" s="1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  <c r="P7698"/>
      <c r="Q7698"/>
      <c r="R7698"/>
      <c r="S7698"/>
    </row>
    <row r="7699" spans="1:19" x14ac:dyDescent="0.25">
      <c r="A7699" s="1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  <c r="P7699"/>
      <c r="Q7699"/>
      <c r="R7699"/>
      <c r="S7699"/>
    </row>
    <row r="7700" spans="1:19" x14ac:dyDescent="0.25">
      <c r="A7700" s="1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  <c r="P7700"/>
      <c r="Q7700"/>
      <c r="R7700"/>
      <c r="S7700"/>
    </row>
    <row r="7701" spans="1:19" x14ac:dyDescent="0.25">
      <c r="A7701" s="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  <c r="P7701"/>
      <c r="Q7701"/>
      <c r="R7701"/>
      <c r="S7701"/>
    </row>
    <row r="7702" spans="1:19" x14ac:dyDescent="0.25">
      <c r="A7702" s="1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  <c r="P7702"/>
      <c r="Q7702"/>
      <c r="R7702"/>
      <c r="S7702"/>
    </row>
    <row r="7703" spans="1:19" x14ac:dyDescent="0.25">
      <c r="A7703" s="1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  <c r="P7703"/>
      <c r="Q7703"/>
      <c r="R7703"/>
      <c r="S7703"/>
    </row>
    <row r="7704" spans="1:19" x14ac:dyDescent="0.25">
      <c r="A7704" s="1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  <c r="P7704"/>
      <c r="Q7704"/>
      <c r="R7704"/>
      <c r="S7704"/>
    </row>
    <row r="7705" spans="1:19" x14ac:dyDescent="0.25">
      <c r="A7705" s="1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  <c r="P7705"/>
      <c r="Q7705"/>
      <c r="R7705"/>
      <c r="S7705"/>
    </row>
    <row r="7706" spans="1:19" x14ac:dyDescent="0.25">
      <c r="A7706" s="1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  <c r="P7706"/>
      <c r="Q7706"/>
      <c r="R7706"/>
      <c r="S7706"/>
    </row>
    <row r="7707" spans="1:19" x14ac:dyDescent="0.25">
      <c r="A7707" s="1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  <c r="P7707"/>
      <c r="Q7707"/>
      <c r="R7707"/>
      <c r="S7707"/>
    </row>
    <row r="7708" spans="1:19" x14ac:dyDescent="0.25">
      <c r="A7708" s="1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  <c r="P7708"/>
      <c r="Q7708"/>
      <c r="R7708"/>
      <c r="S7708"/>
    </row>
    <row r="7709" spans="1:19" x14ac:dyDescent="0.25">
      <c r="A7709" s="1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  <c r="P7709"/>
      <c r="Q7709"/>
      <c r="R7709"/>
      <c r="S7709"/>
    </row>
    <row r="7710" spans="1:19" x14ac:dyDescent="0.25">
      <c r="A7710" s="1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  <c r="P7710"/>
      <c r="Q7710"/>
      <c r="R7710"/>
      <c r="S7710"/>
    </row>
    <row r="7711" spans="1:19" x14ac:dyDescent="0.25">
      <c r="A7711" s="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  <c r="P7711"/>
      <c r="Q7711"/>
      <c r="R7711"/>
      <c r="S7711"/>
    </row>
    <row r="7712" spans="1:19" x14ac:dyDescent="0.25">
      <c r="A7712" s="1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  <c r="P7712"/>
      <c r="Q7712"/>
      <c r="R7712"/>
      <c r="S7712"/>
    </row>
    <row r="7713" spans="1:19" x14ac:dyDescent="0.25">
      <c r="A7713" s="1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  <c r="P7713"/>
      <c r="Q7713"/>
      <c r="R7713"/>
      <c r="S7713"/>
    </row>
    <row r="7714" spans="1:19" x14ac:dyDescent="0.25">
      <c r="A7714" s="1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  <c r="P7714"/>
      <c r="Q7714"/>
      <c r="R7714"/>
      <c r="S7714"/>
    </row>
    <row r="7715" spans="1:19" x14ac:dyDescent="0.25">
      <c r="A7715" s="1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  <c r="P7715"/>
      <c r="Q7715"/>
      <c r="R7715"/>
      <c r="S7715"/>
    </row>
    <row r="7716" spans="1:19" x14ac:dyDescent="0.25">
      <c r="A7716" s="1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  <c r="P7716"/>
      <c r="Q7716"/>
      <c r="R7716"/>
      <c r="S7716"/>
    </row>
    <row r="7717" spans="1:19" x14ac:dyDescent="0.25">
      <c r="A7717" s="1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  <c r="P7717"/>
      <c r="Q7717"/>
      <c r="R7717"/>
      <c r="S7717"/>
    </row>
    <row r="7718" spans="1:19" x14ac:dyDescent="0.25">
      <c r="A7718" s="1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  <c r="P7718"/>
      <c r="Q7718"/>
      <c r="R7718"/>
      <c r="S7718"/>
    </row>
    <row r="7719" spans="1:19" x14ac:dyDescent="0.25">
      <c r="A7719" s="1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  <c r="P7719"/>
      <c r="Q7719"/>
      <c r="R7719"/>
      <c r="S7719"/>
    </row>
    <row r="7720" spans="1:19" x14ac:dyDescent="0.25">
      <c r="A7720" s="1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  <c r="P7720"/>
      <c r="Q7720"/>
      <c r="R7720"/>
      <c r="S7720"/>
    </row>
    <row r="7721" spans="1:19" x14ac:dyDescent="0.25">
      <c r="A7721" s="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  <c r="P7721"/>
      <c r="Q7721"/>
      <c r="R7721"/>
      <c r="S7721"/>
    </row>
    <row r="7722" spans="1:19" x14ac:dyDescent="0.25">
      <c r="A7722" s="1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  <c r="P7722"/>
      <c r="Q7722"/>
      <c r="R7722"/>
      <c r="S7722"/>
    </row>
    <row r="7723" spans="1:19" x14ac:dyDescent="0.25">
      <c r="A7723" s="1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  <c r="P7723"/>
      <c r="Q7723"/>
      <c r="R7723"/>
      <c r="S7723"/>
    </row>
    <row r="7724" spans="1:19" x14ac:dyDescent="0.25">
      <c r="A7724" s="1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  <c r="P7724"/>
      <c r="Q7724"/>
      <c r="R7724"/>
      <c r="S7724"/>
    </row>
    <row r="7725" spans="1:19" x14ac:dyDescent="0.25">
      <c r="A7725" s="1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  <c r="P7725"/>
      <c r="Q7725"/>
      <c r="R7725"/>
      <c r="S7725"/>
    </row>
    <row r="7726" spans="1:19" x14ac:dyDescent="0.25">
      <c r="A7726" s="1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  <c r="P7726"/>
      <c r="Q7726"/>
      <c r="R7726"/>
      <c r="S7726"/>
    </row>
    <row r="7727" spans="1:19" x14ac:dyDescent="0.25">
      <c r="A7727" s="1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  <c r="P7727"/>
      <c r="Q7727"/>
      <c r="R7727"/>
      <c r="S7727"/>
    </row>
    <row r="7728" spans="1:19" x14ac:dyDescent="0.25">
      <c r="A7728" s="1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  <c r="P7728"/>
      <c r="Q7728"/>
      <c r="R7728"/>
      <c r="S7728"/>
    </row>
    <row r="7729" spans="1:19" x14ac:dyDescent="0.25">
      <c r="A7729" s="1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  <c r="P7729"/>
      <c r="Q7729"/>
      <c r="R7729"/>
      <c r="S7729"/>
    </row>
    <row r="7730" spans="1:19" x14ac:dyDescent="0.25">
      <c r="A7730" s="1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  <c r="P7730"/>
      <c r="Q7730"/>
      <c r="R7730"/>
      <c r="S7730"/>
    </row>
    <row r="7731" spans="1:19" x14ac:dyDescent="0.25">
      <c r="A7731" s="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  <c r="P7731"/>
      <c r="Q7731"/>
      <c r="R7731"/>
      <c r="S7731"/>
    </row>
    <row r="7732" spans="1:19" x14ac:dyDescent="0.25">
      <c r="A7732" s="1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  <c r="P7732"/>
      <c r="Q7732"/>
      <c r="R7732"/>
      <c r="S7732"/>
    </row>
    <row r="7733" spans="1:19" x14ac:dyDescent="0.25">
      <c r="A7733" s="1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  <c r="P7733"/>
      <c r="Q7733"/>
      <c r="R7733"/>
      <c r="S7733"/>
    </row>
    <row r="7734" spans="1:19" x14ac:dyDescent="0.25">
      <c r="A7734" s="1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  <c r="P7734"/>
      <c r="Q7734"/>
      <c r="R7734"/>
      <c r="S7734"/>
    </row>
    <row r="7735" spans="1:19" x14ac:dyDescent="0.25">
      <c r="A7735" s="1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  <c r="P7735"/>
      <c r="Q7735"/>
      <c r="R7735"/>
      <c r="S7735"/>
    </row>
    <row r="7736" spans="1:19" x14ac:dyDescent="0.25">
      <c r="A7736" s="1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  <c r="P7736"/>
      <c r="Q7736"/>
      <c r="R7736"/>
      <c r="S7736"/>
    </row>
    <row r="7737" spans="1:19" x14ac:dyDescent="0.25">
      <c r="A7737" s="1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  <c r="P7737"/>
      <c r="Q7737"/>
      <c r="R7737"/>
      <c r="S7737"/>
    </row>
    <row r="7738" spans="1:19" x14ac:dyDescent="0.25">
      <c r="A7738" s="1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  <c r="P7738"/>
      <c r="Q7738"/>
      <c r="R7738"/>
      <c r="S7738"/>
    </row>
    <row r="7739" spans="1:19" x14ac:dyDescent="0.25">
      <c r="A7739" s="1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  <c r="P7739"/>
      <c r="Q7739"/>
      <c r="R7739"/>
      <c r="S7739"/>
    </row>
    <row r="7740" spans="1:19" x14ac:dyDescent="0.25">
      <c r="A7740" s="1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  <c r="P7740"/>
      <c r="Q7740"/>
      <c r="R7740"/>
      <c r="S7740"/>
    </row>
    <row r="7741" spans="1:19" x14ac:dyDescent="0.25">
      <c r="A7741" s="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  <c r="P7741"/>
      <c r="Q7741"/>
      <c r="R7741"/>
      <c r="S7741"/>
    </row>
    <row r="7742" spans="1:19" x14ac:dyDescent="0.25">
      <c r="A7742" s="1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  <c r="P7742"/>
      <c r="Q7742"/>
      <c r="R7742"/>
      <c r="S7742"/>
    </row>
    <row r="7743" spans="1:19" x14ac:dyDescent="0.25">
      <c r="A7743" s="1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  <c r="P7743"/>
      <c r="Q7743"/>
      <c r="R7743"/>
      <c r="S7743"/>
    </row>
    <row r="7744" spans="1:19" x14ac:dyDescent="0.25">
      <c r="A7744" s="1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  <c r="P7744"/>
      <c r="Q7744"/>
      <c r="R7744"/>
      <c r="S7744"/>
    </row>
    <row r="7745" spans="1:19" x14ac:dyDescent="0.25">
      <c r="A7745" s="1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  <c r="P7745"/>
      <c r="Q7745"/>
      <c r="R7745"/>
      <c r="S7745"/>
    </row>
    <row r="7746" spans="1:19" x14ac:dyDescent="0.25">
      <c r="A7746" s="1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  <c r="P7746"/>
      <c r="Q7746"/>
      <c r="R7746"/>
      <c r="S7746"/>
    </row>
    <row r="7747" spans="1:19" x14ac:dyDescent="0.25">
      <c r="A7747" s="1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  <c r="P7747"/>
      <c r="Q7747"/>
      <c r="R7747"/>
      <c r="S7747"/>
    </row>
    <row r="7748" spans="1:19" x14ac:dyDescent="0.25">
      <c r="A7748" s="1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  <c r="P7748"/>
      <c r="Q7748"/>
      <c r="R7748"/>
      <c r="S7748"/>
    </row>
    <row r="7749" spans="1:19" x14ac:dyDescent="0.25">
      <c r="A7749" s="1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  <c r="P7749"/>
      <c r="Q7749"/>
      <c r="R7749"/>
      <c r="S7749"/>
    </row>
    <row r="7750" spans="1:19" x14ac:dyDescent="0.25">
      <c r="A7750" s="1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  <c r="P7750"/>
      <c r="Q7750"/>
      <c r="R7750"/>
      <c r="S7750"/>
    </row>
    <row r="7751" spans="1:19" x14ac:dyDescent="0.25">
      <c r="A7751" s="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  <c r="P7751"/>
      <c r="Q7751"/>
      <c r="R7751"/>
      <c r="S7751"/>
    </row>
    <row r="7752" spans="1:19" x14ac:dyDescent="0.25">
      <c r="A7752" s="1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  <c r="P7752"/>
      <c r="Q7752"/>
      <c r="R7752"/>
      <c r="S7752"/>
    </row>
    <row r="7753" spans="1:19" x14ac:dyDescent="0.25">
      <c r="A7753" s="1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  <c r="P7753"/>
      <c r="Q7753"/>
      <c r="R7753"/>
      <c r="S7753"/>
    </row>
    <row r="7754" spans="1:19" x14ac:dyDescent="0.25">
      <c r="A7754" s="1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  <c r="P7754"/>
      <c r="Q7754"/>
      <c r="R7754"/>
      <c r="S7754"/>
    </row>
    <row r="7755" spans="1:19" x14ac:dyDescent="0.25">
      <c r="A7755" s="1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  <c r="P7755"/>
      <c r="Q7755"/>
      <c r="R7755"/>
      <c r="S7755"/>
    </row>
    <row r="7756" spans="1:19" x14ac:dyDescent="0.25">
      <c r="A7756" s="1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  <c r="P7756"/>
      <c r="Q7756"/>
      <c r="R7756"/>
      <c r="S7756"/>
    </row>
    <row r="7757" spans="1:19" x14ac:dyDescent="0.25">
      <c r="A7757" s="1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  <c r="P7757"/>
      <c r="Q7757"/>
      <c r="R7757"/>
      <c r="S7757"/>
    </row>
    <row r="7758" spans="1:19" x14ac:dyDescent="0.25">
      <c r="A7758" s="1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  <c r="P7758"/>
      <c r="Q7758"/>
      <c r="R7758"/>
      <c r="S7758"/>
    </row>
    <row r="7759" spans="1:19" x14ac:dyDescent="0.25">
      <c r="A7759" s="1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  <c r="P7759"/>
      <c r="Q7759"/>
      <c r="R7759"/>
      <c r="S7759"/>
    </row>
    <row r="7760" spans="1:19" x14ac:dyDescent="0.25">
      <c r="A7760" s="1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  <c r="P7760"/>
      <c r="Q7760"/>
      <c r="R7760"/>
      <c r="S7760"/>
    </row>
    <row r="7761" spans="1:19" x14ac:dyDescent="0.25">
      <c r="A7761" s="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  <c r="P7761"/>
      <c r="Q7761"/>
      <c r="R7761"/>
      <c r="S7761"/>
    </row>
    <row r="7762" spans="1:19" x14ac:dyDescent="0.25">
      <c r="A7762" s="1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  <c r="P7762"/>
      <c r="Q7762"/>
      <c r="R7762"/>
      <c r="S7762"/>
    </row>
    <row r="7763" spans="1:19" x14ac:dyDescent="0.25">
      <c r="A7763" s="1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  <c r="P7763"/>
      <c r="Q7763"/>
      <c r="R7763"/>
      <c r="S7763"/>
    </row>
    <row r="7764" spans="1:19" x14ac:dyDescent="0.25">
      <c r="A7764" s="1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  <c r="P7764"/>
      <c r="Q7764"/>
      <c r="R7764"/>
      <c r="S7764"/>
    </row>
    <row r="7765" spans="1:19" x14ac:dyDescent="0.25">
      <c r="A7765" s="1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  <c r="P7765"/>
      <c r="Q7765"/>
      <c r="R7765"/>
      <c r="S7765"/>
    </row>
    <row r="7766" spans="1:19" x14ac:dyDescent="0.25">
      <c r="A7766" s="1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  <c r="P7766"/>
      <c r="Q7766"/>
      <c r="R7766"/>
      <c r="S7766"/>
    </row>
    <row r="7767" spans="1:19" x14ac:dyDescent="0.25">
      <c r="A7767" s="1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  <c r="P7767"/>
      <c r="Q7767"/>
      <c r="R7767"/>
      <c r="S7767"/>
    </row>
    <row r="7768" spans="1:19" x14ac:dyDescent="0.25">
      <c r="A7768" s="1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  <c r="P7768"/>
      <c r="Q7768"/>
      <c r="R7768"/>
      <c r="S7768"/>
    </row>
    <row r="7769" spans="1:19" x14ac:dyDescent="0.25">
      <c r="A7769" s="1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  <c r="P7769"/>
      <c r="Q7769"/>
      <c r="R7769"/>
      <c r="S7769"/>
    </row>
    <row r="7770" spans="1:19" x14ac:dyDescent="0.25">
      <c r="A7770" s="1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  <c r="P7770"/>
      <c r="Q7770"/>
      <c r="R7770"/>
      <c r="S7770"/>
    </row>
    <row r="7771" spans="1:19" x14ac:dyDescent="0.25">
      <c r="A7771" s="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  <c r="P7771"/>
      <c r="Q7771"/>
      <c r="R7771"/>
      <c r="S7771"/>
    </row>
    <row r="7772" spans="1:19" x14ac:dyDescent="0.25">
      <c r="A7772" s="1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  <c r="P7772"/>
      <c r="Q7772"/>
      <c r="R7772"/>
      <c r="S7772"/>
    </row>
    <row r="7773" spans="1:19" x14ac:dyDescent="0.25">
      <c r="A7773" s="1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  <c r="P7773"/>
      <c r="Q7773"/>
      <c r="R7773"/>
      <c r="S7773"/>
    </row>
    <row r="7774" spans="1:19" x14ac:dyDescent="0.25">
      <c r="A7774" s="1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  <c r="P7774"/>
      <c r="Q7774"/>
      <c r="R7774"/>
      <c r="S7774"/>
    </row>
    <row r="7775" spans="1:19" x14ac:dyDescent="0.25">
      <c r="A7775" s="1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  <c r="P7775"/>
      <c r="Q7775"/>
      <c r="R7775"/>
      <c r="S7775"/>
    </row>
    <row r="7776" spans="1:19" x14ac:dyDescent="0.25">
      <c r="A7776" s="1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  <c r="P7776"/>
      <c r="Q7776"/>
      <c r="R7776"/>
      <c r="S7776"/>
    </row>
    <row r="7777" spans="1:19" x14ac:dyDescent="0.25">
      <c r="A7777" s="1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  <c r="P7777"/>
      <c r="Q7777"/>
      <c r="R7777"/>
      <c r="S7777"/>
    </row>
    <row r="7778" spans="1:19" x14ac:dyDescent="0.25">
      <c r="A7778" s="1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  <c r="P7778"/>
      <c r="Q7778"/>
      <c r="R7778"/>
      <c r="S7778"/>
    </row>
    <row r="7779" spans="1:19" x14ac:dyDescent="0.25">
      <c r="A7779" s="1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  <c r="P7779"/>
      <c r="Q7779"/>
      <c r="R7779"/>
      <c r="S7779"/>
    </row>
    <row r="7780" spans="1:19" x14ac:dyDescent="0.25">
      <c r="A7780" s="1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  <c r="P7780"/>
      <c r="Q7780"/>
      <c r="R7780"/>
      <c r="S7780"/>
    </row>
    <row r="7781" spans="1:19" x14ac:dyDescent="0.25">
      <c r="A7781" s="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  <c r="P7781"/>
      <c r="Q7781"/>
      <c r="R7781"/>
      <c r="S7781"/>
    </row>
    <row r="7782" spans="1:19" x14ac:dyDescent="0.25">
      <c r="A7782" s="1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  <c r="P7782"/>
      <c r="Q7782"/>
      <c r="R7782"/>
      <c r="S7782"/>
    </row>
    <row r="7783" spans="1:19" x14ac:dyDescent="0.25">
      <c r="A7783" s="1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  <c r="P7783"/>
      <c r="Q7783"/>
      <c r="R7783"/>
      <c r="S7783"/>
    </row>
    <row r="7784" spans="1:19" x14ac:dyDescent="0.25">
      <c r="A7784" s="1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  <c r="P7784"/>
      <c r="Q7784"/>
      <c r="R7784"/>
      <c r="S7784"/>
    </row>
    <row r="7785" spans="1:19" x14ac:dyDescent="0.25">
      <c r="A7785" s="1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  <c r="P7785"/>
      <c r="Q7785"/>
      <c r="R7785"/>
      <c r="S7785"/>
    </row>
    <row r="7786" spans="1:19" x14ac:dyDescent="0.25">
      <c r="A7786" s="1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  <c r="P7786"/>
      <c r="Q7786"/>
      <c r="R7786"/>
      <c r="S7786"/>
    </row>
    <row r="7787" spans="1:19" x14ac:dyDescent="0.25">
      <c r="A7787" s="1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  <c r="P7787"/>
      <c r="Q7787"/>
      <c r="R7787"/>
      <c r="S7787"/>
    </row>
    <row r="7788" spans="1:19" x14ac:dyDescent="0.25">
      <c r="A7788" s="1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  <c r="P7788"/>
      <c r="Q7788"/>
      <c r="R7788"/>
      <c r="S7788"/>
    </row>
    <row r="7789" spans="1:19" x14ac:dyDescent="0.25">
      <c r="A7789" s="1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  <c r="P7789"/>
      <c r="Q7789"/>
      <c r="R7789"/>
      <c r="S7789"/>
    </row>
    <row r="7790" spans="1:19" x14ac:dyDescent="0.25">
      <c r="A7790" s="1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  <c r="P7790"/>
      <c r="Q7790"/>
      <c r="R7790"/>
      <c r="S7790"/>
    </row>
    <row r="7791" spans="1:19" x14ac:dyDescent="0.25">
      <c r="A7791" s="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  <c r="P7791"/>
      <c r="Q7791"/>
      <c r="R7791"/>
      <c r="S7791"/>
    </row>
    <row r="7792" spans="1:19" x14ac:dyDescent="0.25">
      <c r="A7792" s="1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  <c r="P7792"/>
      <c r="Q7792"/>
      <c r="R7792"/>
      <c r="S7792"/>
    </row>
    <row r="7793" spans="1:19" x14ac:dyDescent="0.25">
      <c r="A7793" s="1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  <c r="P7793"/>
      <c r="Q7793"/>
      <c r="R7793"/>
      <c r="S7793"/>
    </row>
    <row r="7794" spans="1:19" x14ac:dyDescent="0.25">
      <c r="A7794" s="1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  <c r="P7794"/>
      <c r="Q7794"/>
      <c r="R7794"/>
      <c r="S7794"/>
    </row>
    <row r="7795" spans="1:19" x14ac:dyDescent="0.25">
      <c r="A7795" s="1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  <c r="P7795"/>
      <c r="Q7795"/>
      <c r="R7795"/>
      <c r="S7795"/>
    </row>
    <row r="7796" spans="1:19" x14ac:dyDescent="0.25">
      <c r="A7796" s="1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  <c r="P7796"/>
      <c r="Q7796"/>
      <c r="R7796"/>
      <c r="S7796"/>
    </row>
    <row r="7797" spans="1:19" x14ac:dyDescent="0.25">
      <c r="A7797" s="1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  <c r="P7797"/>
      <c r="Q7797"/>
      <c r="R7797"/>
      <c r="S7797"/>
    </row>
    <row r="7798" spans="1:19" x14ac:dyDescent="0.25">
      <c r="A7798" s="1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  <c r="P7798"/>
      <c r="Q7798"/>
      <c r="R7798"/>
      <c r="S7798"/>
    </row>
    <row r="7799" spans="1:19" x14ac:dyDescent="0.25">
      <c r="A7799" s="1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  <c r="P7799"/>
      <c r="Q7799"/>
      <c r="R7799"/>
      <c r="S7799"/>
    </row>
    <row r="7800" spans="1:19" x14ac:dyDescent="0.25">
      <c r="A7800" s="1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  <c r="P7800"/>
      <c r="Q7800"/>
      <c r="R7800"/>
      <c r="S7800"/>
    </row>
    <row r="7801" spans="1:19" x14ac:dyDescent="0.25">
      <c r="A7801" s="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  <c r="P7801"/>
      <c r="Q7801"/>
      <c r="R7801"/>
      <c r="S7801"/>
    </row>
    <row r="7802" spans="1:19" x14ac:dyDescent="0.25">
      <c r="A7802" s="1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  <c r="P7802"/>
      <c r="Q7802"/>
      <c r="R7802"/>
      <c r="S7802"/>
    </row>
    <row r="7803" spans="1:19" x14ac:dyDescent="0.25">
      <c r="A7803" s="1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  <c r="P7803"/>
      <c r="Q7803"/>
      <c r="R7803"/>
      <c r="S7803"/>
    </row>
    <row r="7804" spans="1:19" x14ac:dyDescent="0.25">
      <c r="A7804" s="1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  <c r="P7804"/>
      <c r="Q7804"/>
      <c r="R7804"/>
      <c r="S7804"/>
    </row>
    <row r="7805" spans="1:19" x14ac:dyDescent="0.25">
      <c r="A7805" s="1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  <c r="P7805"/>
      <c r="Q7805"/>
      <c r="R7805"/>
      <c r="S7805"/>
    </row>
    <row r="7806" spans="1:19" x14ac:dyDescent="0.25">
      <c r="A7806" s="1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  <c r="P7806"/>
      <c r="Q7806"/>
      <c r="R7806"/>
      <c r="S7806"/>
    </row>
    <row r="7807" spans="1:19" x14ac:dyDescent="0.25">
      <c r="A7807" s="1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  <c r="P7807"/>
      <c r="Q7807"/>
      <c r="R7807"/>
      <c r="S7807"/>
    </row>
    <row r="7808" spans="1:19" x14ac:dyDescent="0.25">
      <c r="A7808" s="1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  <c r="P7808"/>
      <c r="Q7808"/>
      <c r="R7808"/>
      <c r="S7808"/>
    </row>
    <row r="7809" spans="1:19" x14ac:dyDescent="0.25">
      <c r="A7809" s="1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  <c r="P7809"/>
      <c r="Q7809"/>
      <c r="R7809"/>
      <c r="S7809"/>
    </row>
    <row r="7810" spans="1:19" x14ac:dyDescent="0.25">
      <c r="A7810" s="1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  <c r="P7810"/>
      <c r="Q7810"/>
      <c r="R7810"/>
      <c r="S7810"/>
    </row>
    <row r="7811" spans="1:19" x14ac:dyDescent="0.25">
      <c r="A7811" s="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  <c r="P7811"/>
      <c r="Q7811"/>
      <c r="R7811"/>
      <c r="S7811"/>
    </row>
    <row r="7812" spans="1:19" x14ac:dyDescent="0.25">
      <c r="A7812" s="1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  <c r="P7812"/>
      <c r="Q7812"/>
      <c r="R7812"/>
      <c r="S7812"/>
    </row>
    <row r="7813" spans="1:19" x14ac:dyDescent="0.25">
      <c r="A7813" s="1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  <c r="P7813"/>
      <c r="Q7813"/>
      <c r="R7813"/>
      <c r="S7813"/>
    </row>
    <row r="7814" spans="1:19" x14ac:dyDescent="0.25">
      <c r="A7814" s="1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  <c r="P7814"/>
      <c r="Q7814"/>
      <c r="R7814"/>
      <c r="S7814"/>
    </row>
    <row r="7815" spans="1:19" x14ac:dyDescent="0.25">
      <c r="A7815" s="1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  <c r="P7815"/>
      <c r="Q7815"/>
      <c r="R7815"/>
      <c r="S7815"/>
    </row>
    <row r="7816" spans="1:19" x14ac:dyDescent="0.25">
      <c r="A7816" s="1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  <c r="P7816"/>
      <c r="Q7816"/>
      <c r="R7816"/>
      <c r="S7816"/>
    </row>
    <row r="7817" spans="1:19" x14ac:dyDescent="0.25">
      <c r="A7817" s="1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  <c r="P7817"/>
      <c r="Q7817"/>
      <c r="R7817"/>
      <c r="S7817"/>
    </row>
    <row r="7818" spans="1:19" x14ac:dyDescent="0.25">
      <c r="A7818" s="1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  <c r="P7818"/>
      <c r="Q7818"/>
      <c r="R7818"/>
      <c r="S7818"/>
    </row>
    <row r="7819" spans="1:19" x14ac:dyDescent="0.25">
      <c r="A7819" s="1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  <c r="P7819"/>
      <c r="Q7819"/>
      <c r="R7819"/>
      <c r="S7819"/>
    </row>
    <row r="7820" spans="1:19" x14ac:dyDescent="0.25">
      <c r="A7820" s="1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  <c r="P7820"/>
      <c r="Q7820"/>
      <c r="R7820"/>
      <c r="S7820"/>
    </row>
    <row r="7821" spans="1:19" x14ac:dyDescent="0.25">
      <c r="A7821" s="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  <c r="P7821"/>
      <c r="Q7821"/>
      <c r="R7821"/>
      <c r="S7821"/>
    </row>
    <row r="7822" spans="1:19" x14ac:dyDescent="0.25">
      <c r="A7822" s="1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  <c r="P7822"/>
      <c r="Q7822"/>
      <c r="R7822"/>
      <c r="S7822"/>
    </row>
    <row r="7823" spans="1:19" x14ac:dyDescent="0.25">
      <c r="A7823" s="1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  <c r="P7823"/>
      <c r="Q7823"/>
      <c r="R7823"/>
      <c r="S7823"/>
    </row>
    <row r="7824" spans="1:19" x14ac:dyDescent="0.25">
      <c r="A7824" s="1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  <c r="P7824"/>
      <c r="Q7824"/>
      <c r="R7824"/>
      <c r="S7824"/>
    </row>
    <row r="7825" spans="1:19" x14ac:dyDescent="0.25">
      <c r="A7825" s="1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  <c r="P7825"/>
      <c r="Q7825"/>
      <c r="R7825"/>
      <c r="S7825"/>
    </row>
    <row r="7826" spans="1:19" x14ac:dyDescent="0.25">
      <c r="A7826" s="1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  <c r="P7826"/>
      <c r="Q7826"/>
      <c r="R7826"/>
      <c r="S7826"/>
    </row>
    <row r="7827" spans="1:19" x14ac:dyDescent="0.25">
      <c r="A7827" s="1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  <c r="P7827"/>
      <c r="Q7827"/>
      <c r="R7827"/>
      <c r="S7827"/>
    </row>
    <row r="7828" spans="1:19" x14ac:dyDescent="0.25">
      <c r="A7828" s="1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  <c r="P7828"/>
      <c r="Q7828"/>
      <c r="R7828"/>
      <c r="S7828"/>
    </row>
    <row r="7829" spans="1:19" x14ac:dyDescent="0.25">
      <c r="A7829" s="1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  <c r="P7829"/>
      <c r="Q7829"/>
      <c r="R7829"/>
      <c r="S7829"/>
    </row>
    <row r="7830" spans="1:19" x14ac:dyDescent="0.25">
      <c r="A7830" s="1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  <c r="P7830"/>
      <c r="Q7830"/>
      <c r="R7830"/>
      <c r="S7830"/>
    </row>
    <row r="7831" spans="1:19" x14ac:dyDescent="0.25">
      <c r="A7831" s="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  <c r="P7831"/>
      <c r="Q7831"/>
      <c r="R7831"/>
      <c r="S7831"/>
    </row>
    <row r="7832" spans="1:19" x14ac:dyDescent="0.25">
      <c r="A7832" s="1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  <c r="P7832"/>
      <c r="Q7832"/>
      <c r="R7832"/>
      <c r="S7832"/>
    </row>
    <row r="7833" spans="1:19" x14ac:dyDescent="0.25">
      <c r="A7833" s="1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  <c r="P7833"/>
      <c r="Q7833"/>
      <c r="R7833"/>
      <c r="S7833"/>
    </row>
    <row r="7834" spans="1:19" x14ac:dyDescent="0.25">
      <c r="A7834" s="1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  <c r="P7834"/>
      <c r="Q7834"/>
      <c r="R7834"/>
      <c r="S7834"/>
    </row>
    <row r="7835" spans="1:19" x14ac:dyDescent="0.25">
      <c r="A7835" s="1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  <c r="P7835"/>
      <c r="Q7835"/>
      <c r="R7835"/>
      <c r="S7835"/>
    </row>
    <row r="7836" spans="1:19" x14ac:dyDescent="0.25">
      <c r="A7836" s="1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  <c r="P7836"/>
      <c r="Q7836"/>
      <c r="R7836"/>
      <c r="S7836"/>
    </row>
    <row r="7837" spans="1:19" x14ac:dyDescent="0.25">
      <c r="A7837" s="1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  <c r="P7837"/>
      <c r="Q7837"/>
      <c r="R7837"/>
      <c r="S7837"/>
    </row>
    <row r="7838" spans="1:19" x14ac:dyDescent="0.25">
      <c r="A7838" s="1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  <c r="P7838"/>
      <c r="Q7838"/>
      <c r="R7838"/>
      <c r="S7838"/>
    </row>
    <row r="7839" spans="1:19" x14ac:dyDescent="0.25">
      <c r="A7839" s="1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  <c r="P7839"/>
      <c r="Q7839"/>
      <c r="R7839"/>
      <c r="S7839"/>
    </row>
    <row r="7840" spans="1:19" x14ac:dyDescent="0.25">
      <c r="A7840" s="1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  <c r="P7840"/>
      <c r="Q7840"/>
      <c r="R7840"/>
      <c r="S7840"/>
    </row>
    <row r="7841" spans="1:19" x14ac:dyDescent="0.25">
      <c r="A7841" s="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  <c r="P7841"/>
      <c r="Q7841"/>
      <c r="R7841"/>
      <c r="S7841"/>
    </row>
    <row r="7842" spans="1:19" x14ac:dyDescent="0.25">
      <c r="A7842" s="1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  <c r="P7842"/>
      <c r="Q7842"/>
      <c r="R7842"/>
      <c r="S7842"/>
    </row>
    <row r="7843" spans="1:19" x14ac:dyDescent="0.25">
      <c r="A7843" s="1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  <c r="P7843"/>
      <c r="Q7843"/>
      <c r="R7843"/>
      <c r="S7843"/>
    </row>
    <row r="7844" spans="1:19" x14ac:dyDescent="0.25">
      <c r="A7844" s="1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  <c r="P7844"/>
      <c r="Q7844"/>
      <c r="R7844"/>
      <c r="S7844"/>
    </row>
    <row r="7845" spans="1:19" x14ac:dyDescent="0.25">
      <c r="A7845" s="1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  <c r="P7845"/>
      <c r="Q7845"/>
      <c r="R7845"/>
      <c r="S7845"/>
    </row>
    <row r="7846" spans="1:19" x14ac:dyDescent="0.25">
      <c r="A7846" s="1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  <c r="P7846"/>
      <c r="Q7846"/>
      <c r="R7846"/>
      <c r="S7846"/>
    </row>
    <row r="7847" spans="1:19" x14ac:dyDescent="0.25">
      <c r="A7847" s="1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  <c r="P7847"/>
      <c r="Q7847"/>
      <c r="R7847"/>
      <c r="S7847"/>
    </row>
    <row r="7848" spans="1:19" x14ac:dyDescent="0.25">
      <c r="A7848" s="1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  <c r="P7848"/>
      <c r="Q7848"/>
      <c r="R7848"/>
      <c r="S7848"/>
    </row>
    <row r="7849" spans="1:19" x14ac:dyDescent="0.25">
      <c r="A7849" s="1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  <c r="P7849"/>
      <c r="Q7849"/>
      <c r="R7849"/>
      <c r="S7849"/>
    </row>
    <row r="7850" spans="1:19" x14ac:dyDescent="0.25">
      <c r="A7850" s="1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  <c r="P7850"/>
      <c r="Q7850"/>
      <c r="R7850"/>
      <c r="S7850"/>
    </row>
    <row r="7851" spans="1:19" x14ac:dyDescent="0.25">
      <c r="A7851" s="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  <c r="P7851"/>
      <c r="Q7851"/>
      <c r="R7851"/>
      <c r="S7851"/>
    </row>
    <row r="7852" spans="1:19" x14ac:dyDescent="0.25">
      <c r="A7852" s="1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  <c r="P7852"/>
      <c r="Q7852"/>
      <c r="R7852"/>
      <c r="S7852"/>
    </row>
    <row r="7853" spans="1:19" x14ac:dyDescent="0.25">
      <c r="A7853" s="1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  <c r="P7853"/>
      <c r="Q7853"/>
      <c r="R7853"/>
      <c r="S7853"/>
    </row>
    <row r="7854" spans="1:19" x14ac:dyDescent="0.25">
      <c r="A7854" s="1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  <c r="P7854"/>
      <c r="Q7854"/>
      <c r="R7854"/>
      <c r="S7854"/>
    </row>
    <row r="7855" spans="1:19" x14ac:dyDescent="0.25">
      <c r="A7855" s="1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  <c r="P7855"/>
      <c r="Q7855"/>
      <c r="R7855"/>
      <c r="S7855"/>
    </row>
    <row r="7856" spans="1:19" x14ac:dyDescent="0.25">
      <c r="A7856" s="1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  <c r="P7856"/>
      <c r="Q7856"/>
      <c r="R7856"/>
      <c r="S7856"/>
    </row>
    <row r="7857" spans="1:19" x14ac:dyDescent="0.25">
      <c r="A7857" s="1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  <c r="P7857"/>
      <c r="Q7857"/>
      <c r="R7857"/>
      <c r="S7857"/>
    </row>
    <row r="7858" spans="1:19" x14ac:dyDescent="0.25">
      <c r="A7858" s="1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  <c r="P7858"/>
      <c r="Q7858"/>
      <c r="R7858"/>
      <c r="S7858"/>
    </row>
    <row r="7859" spans="1:19" x14ac:dyDescent="0.25">
      <c r="A7859" s="1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  <c r="P7859"/>
      <c r="Q7859"/>
      <c r="R7859"/>
      <c r="S7859"/>
    </row>
    <row r="7860" spans="1:19" x14ac:dyDescent="0.25">
      <c r="A7860" s="1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  <c r="P7860"/>
      <c r="Q7860"/>
      <c r="R7860"/>
      <c r="S7860"/>
    </row>
    <row r="7861" spans="1:19" x14ac:dyDescent="0.25">
      <c r="A7861" s="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  <c r="P7861"/>
      <c r="Q7861"/>
      <c r="R7861"/>
      <c r="S7861"/>
    </row>
    <row r="7862" spans="1:19" x14ac:dyDescent="0.25">
      <c r="A7862" s="1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  <c r="P7862"/>
      <c r="Q7862"/>
      <c r="R7862"/>
      <c r="S7862"/>
    </row>
    <row r="7863" spans="1:19" x14ac:dyDescent="0.25">
      <c r="A7863" s="1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  <c r="P7863"/>
      <c r="Q7863"/>
      <c r="R7863"/>
      <c r="S7863"/>
    </row>
    <row r="7864" spans="1:19" x14ac:dyDescent="0.25">
      <c r="A7864" s="1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  <c r="P7864"/>
      <c r="Q7864"/>
      <c r="R7864"/>
      <c r="S7864"/>
    </row>
    <row r="7865" spans="1:19" x14ac:dyDescent="0.25">
      <c r="A7865" s="1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  <c r="P7865"/>
      <c r="Q7865"/>
      <c r="R7865"/>
      <c r="S7865"/>
    </row>
    <row r="7866" spans="1:19" x14ac:dyDescent="0.25">
      <c r="A7866" s="1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  <c r="P7866"/>
      <c r="Q7866"/>
      <c r="R7866"/>
      <c r="S7866"/>
    </row>
    <row r="7867" spans="1:19" x14ac:dyDescent="0.25">
      <c r="A7867" s="1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  <c r="P7867"/>
      <c r="Q7867"/>
      <c r="R7867"/>
      <c r="S7867"/>
    </row>
    <row r="7868" spans="1:19" x14ac:dyDescent="0.25">
      <c r="A7868" s="1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  <c r="P7868"/>
      <c r="Q7868"/>
      <c r="R7868"/>
      <c r="S7868"/>
    </row>
    <row r="7869" spans="1:19" x14ac:dyDescent="0.25">
      <c r="A7869" s="1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  <c r="P7869"/>
      <c r="Q7869"/>
      <c r="R7869"/>
      <c r="S7869"/>
    </row>
    <row r="7870" spans="1:19" x14ac:dyDescent="0.25">
      <c r="A7870" s="1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  <c r="P7870"/>
      <c r="Q7870"/>
      <c r="R7870"/>
      <c r="S7870"/>
    </row>
    <row r="7871" spans="1:19" x14ac:dyDescent="0.25">
      <c r="A7871" s="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  <c r="P7871"/>
      <c r="Q7871"/>
      <c r="R7871"/>
      <c r="S7871"/>
    </row>
    <row r="7872" spans="1:19" x14ac:dyDescent="0.25">
      <c r="A7872" s="1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  <c r="P7872"/>
      <c r="Q7872"/>
      <c r="R7872"/>
      <c r="S7872"/>
    </row>
    <row r="7873" spans="1:19" x14ac:dyDescent="0.25">
      <c r="A7873" s="1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  <c r="P7873"/>
      <c r="Q7873"/>
      <c r="R7873"/>
      <c r="S7873"/>
    </row>
    <row r="7874" spans="1:19" x14ac:dyDescent="0.25">
      <c r="A7874" s="1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  <c r="P7874"/>
      <c r="Q7874"/>
      <c r="R7874"/>
      <c r="S7874"/>
    </row>
    <row r="7875" spans="1:19" x14ac:dyDescent="0.25">
      <c r="A7875" s="1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  <c r="P7875"/>
      <c r="Q7875"/>
      <c r="R7875"/>
      <c r="S7875"/>
    </row>
    <row r="7876" spans="1:19" x14ac:dyDescent="0.25">
      <c r="A7876" s="1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  <c r="P7876"/>
      <c r="Q7876"/>
      <c r="R7876"/>
      <c r="S7876"/>
    </row>
    <row r="7877" spans="1:19" x14ac:dyDescent="0.25">
      <c r="A7877" s="1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  <c r="P7877"/>
      <c r="Q7877"/>
      <c r="R7877"/>
      <c r="S7877"/>
    </row>
    <row r="7878" spans="1:19" x14ac:dyDescent="0.25">
      <c r="A7878" s="1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  <c r="P7878"/>
      <c r="Q7878"/>
      <c r="R7878"/>
      <c r="S7878"/>
    </row>
    <row r="7879" spans="1:19" x14ac:dyDescent="0.25">
      <c r="A7879" s="1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  <c r="P7879"/>
      <c r="Q7879"/>
      <c r="R7879"/>
      <c r="S7879"/>
    </row>
    <row r="7880" spans="1:19" x14ac:dyDescent="0.25">
      <c r="A7880" s="1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  <c r="P7880"/>
      <c r="Q7880"/>
      <c r="R7880"/>
      <c r="S7880"/>
    </row>
    <row r="7881" spans="1:19" x14ac:dyDescent="0.25">
      <c r="A7881" s="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  <c r="P7881"/>
      <c r="Q7881"/>
      <c r="R7881"/>
      <c r="S7881"/>
    </row>
    <row r="7882" spans="1:19" x14ac:dyDescent="0.25">
      <c r="A7882" s="1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  <c r="P7882"/>
      <c r="Q7882"/>
      <c r="R7882"/>
      <c r="S7882"/>
    </row>
    <row r="7883" spans="1:19" x14ac:dyDescent="0.25">
      <c r="A7883" s="1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  <c r="P7883"/>
      <c r="Q7883"/>
      <c r="R7883"/>
      <c r="S7883"/>
    </row>
    <row r="7884" spans="1:19" x14ac:dyDescent="0.25">
      <c r="A7884" s="1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  <c r="P7884"/>
      <c r="Q7884"/>
      <c r="R7884"/>
      <c r="S7884"/>
    </row>
    <row r="7885" spans="1:19" x14ac:dyDescent="0.25">
      <c r="A7885" s="1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  <c r="P7885"/>
      <c r="Q7885"/>
      <c r="R7885"/>
      <c r="S7885"/>
    </row>
    <row r="7886" spans="1:19" x14ac:dyDescent="0.25">
      <c r="A7886" s="1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  <c r="P7886"/>
      <c r="Q7886"/>
      <c r="R7886"/>
      <c r="S7886"/>
    </row>
    <row r="7887" spans="1:19" x14ac:dyDescent="0.25">
      <c r="A7887" s="1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  <c r="P7887"/>
      <c r="Q7887"/>
      <c r="R7887"/>
      <c r="S7887"/>
    </row>
    <row r="7888" spans="1:19" x14ac:dyDescent="0.25">
      <c r="A7888" s="1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  <c r="P7888"/>
      <c r="Q7888"/>
      <c r="R7888"/>
      <c r="S7888"/>
    </row>
    <row r="7889" spans="1:19" x14ac:dyDescent="0.25">
      <c r="A7889" s="1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  <c r="P7889"/>
      <c r="Q7889"/>
      <c r="R7889"/>
      <c r="S7889"/>
    </row>
    <row r="7890" spans="1:19" x14ac:dyDescent="0.25">
      <c r="A7890" s="1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  <c r="P7890"/>
      <c r="Q7890"/>
      <c r="R7890"/>
      <c r="S7890"/>
    </row>
    <row r="7891" spans="1:19" x14ac:dyDescent="0.25">
      <c r="A7891" s="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  <c r="P7891"/>
      <c r="Q7891"/>
      <c r="R7891"/>
      <c r="S7891"/>
    </row>
    <row r="7892" spans="1:19" x14ac:dyDescent="0.25">
      <c r="A7892" s="1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  <c r="P7892"/>
      <c r="Q7892"/>
      <c r="R7892"/>
      <c r="S7892"/>
    </row>
    <row r="7893" spans="1:19" x14ac:dyDescent="0.25">
      <c r="A7893" s="1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  <c r="P7893"/>
      <c r="Q7893"/>
      <c r="R7893"/>
      <c r="S7893"/>
    </row>
    <row r="7894" spans="1:19" x14ac:dyDescent="0.25">
      <c r="A7894" s="1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  <c r="P7894"/>
      <c r="Q7894"/>
      <c r="R7894"/>
      <c r="S7894"/>
    </row>
    <row r="7895" spans="1:19" x14ac:dyDescent="0.25">
      <c r="A7895" s="1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  <c r="P7895"/>
      <c r="Q7895"/>
      <c r="R7895"/>
      <c r="S7895"/>
    </row>
    <row r="7896" spans="1:19" x14ac:dyDescent="0.25">
      <c r="A7896" s="1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  <c r="P7896"/>
      <c r="Q7896"/>
      <c r="R7896"/>
      <c r="S7896"/>
    </row>
    <row r="7897" spans="1:19" x14ac:dyDescent="0.25">
      <c r="A7897" s="1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  <c r="P7897"/>
      <c r="Q7897"/>
      <c r="R7897"/>
      <c r="S7897"/>
    </row>
    <row r="7898" spans="1:19" x14ac:dyDescent="0.25">
      <c r="A7898" s="1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  <c r="P7898"/>
      <c r="Q7898"/>
      <c r="R7898"/>
      <c r="S7898"/>
    </row>
    <row r="7899" spans="1:19" x14ac:dyDescent="0.25">
      <c r="A7899" s="1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  <c r="P7899"/>
      <c r="Q7899"/>
      <c r="R7899"/>
      <c r="S7899"/>
    </row>
    <row r="7900" spans="1:19" x14ac:dyDescent="0.25">
      <c r="A7900" s="1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  <c r="P7900"/>
      <c r="Q7900"/>
      <c r="R7900"/>
      <c r="S7900"/>
    </row>
    <row r="7901" spans="1:19" x14ac:dyDescent="0.25">
      <c r="A7901" s="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  <c r="P7901"/>
      <c r="Q7901"/>
      <c r="R7901"/>
      <c r="S7901"/>
    </row>
    <row r="7902" spans="1:19" x14ac:dyDescent="0.25">
      <c r="A7902" s="1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  <c r="P7902"/>
      <c r="Q7902"/>
      <c r="R7902"/>
      <c r="S7902"/>
    </row>
    <row r="7903" spans="1:19" x14ac:dyDescent="0.25">
      <c r="A7903" s="1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  <c r="P7903"/>
      <c r="Q7903"/>
      <c r="R7903"/>
      <c r="S7903"/>
    </row>
    <row r="7904" spans="1:19" x14ac:dyDescent="0.25">
      <c r="A7904" s="1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  <c r="P7904"/>
      <c r="Q7904"/>
      <c r="R7904"/>
      <c r="S7904"/>
    </row>
    <row r="7905" spans="1:19" x14ac:dyDescent="0.25">
      <c r="A7905" s="1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  <c r="P7905"/>
      <c r="Q7905"/>
      <c r="R7905"/>
      <c r="S7905"/>
    </row>
    <row r="7906" spans="1:19" x14ac:dyDescent="0.25">
      <c r="A7906" s="1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  <c r="P7906"/>
      <c r="Q7906"/>
      <c r="R7906"/>
      <c r="S7906"/>
    </row>
    <row r="7907" spans="1:19" x14ac:dyDescent="0.25">
      <c r="A7907" s="1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  <c r="P7907"/>
      <c r="Q7907"/>
      <c r="R7907"/>
      <c r="S7907"/>
    </row>
    <row r="7908" spans="1:19" x14ac:dyDescent="0.25">
      <c r="A7908" s="1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  <c r="P7908"/>
      <c r="Q7908"/>
      <c r="R7908"/>
      <c r="S7908"/>
    </row>
    <row r="7909" spans="1:19" x14ac:dyDescent="0.25">
      <c r="A7909" s="1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  <c r="P7909"/>
      <c r="Q7909"/>
      <c r="R7909"/>
      <c r="S7909"/>
    </row>
    <row r="7910" spans="1:19" x14ac:dyDescent="0.25">
      <c r="A7910" s="1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  <c r="P7910"/>
      <c r="Q7910"/>
      <c r="R7910"/>
      <c r="S7910"/>
    </row>
    <row r="7911" spans="1:19" x14ac:dyDescent="0.25">
      <c r="A7911" s="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  <c r="P7911"/>
      <c r="Q7911"/>
      <c r="R7911"/>
      <c r="S7911"/>
    </row>
    <row r="7912" spans="1:19" x14ac:dyDescent="0.25">
      <c r="A7912" s="1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  <c r="P7912"/>
      <c r="Q7912"/>
      <c r="R7912"/>
      <c r="S7912"/>
    </row>
    <row r="7913" spans="1:19" x14ac:dyDescent="0.25">
      <c r="A7913" s="1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  <c r="P7913"/>
      <c r="Q7913"/>
      <c r="R7913"/>
      <c r="S7913"/>
    </row>
    <row r="7914" spans="1:19" x14ac:dyDescent="0.25">
      <c r="A7914" s="1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  <c r="P7914"/>
      <c r="Q7914"/>
      <c r="R7914"/>
      <c r="S7914"/>
    </row>
    <row r="7915" spans="1:19" x14ac:dyDescent="0.25">
      <c r="A7915" s="1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  <c r="P7915"/>
      <c r="Q7915"/>
      <c r="R7915"/>
      <c r="S7915"/>
    </row>
    <row r="7916" spans="1:19" x14ac:dyDescent="0.25">
      <c r="A7916" s="1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  <c r="P7916"/>
      <c r="Q7916"/>
      <c r="R7916"/>
      <c r="S7916"/>
    </row>
    <row r="7917" spans="1:19" x14ac:dyDescent="0.25">
      <c r="A7917" s="1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  <c r="P7917"/>
      <c r="Q7917"/>
      <c r="R7917"/>
      <c r="S7917"/>
    </row>
    <row r="7918" spans="1:19" x14ac:dyDescent="0.25">
      <c r="A7918" s="1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  <c r="P7918"/>
      <c r="Q7918"/>
      <c r="R7918"/>
      <c r="S7918"/>
    </row>
    <row r="7919" spans="1:19" x14ac:dyDescent="0.25">
      <c r="A7919" s="1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  <c r="P7919"/>
      <c r="Q7919"/>
      <c r="R7919"/>
      <c r="S7919"/>
    </row>
    <row r="7920" spans="1:19" x14ac:dyDescent="0.25">
      <c r="A7920" s="1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  <c r="P7920"/>
      <c r="Q7920"/>
      <c r="R7920"/>
      <c r="S7920"/>
    </row>
    <row r="7921" spans="1:19" x14ac:dyDescent="0.25">
      <c r="A7921" s="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  <c r="P7921"/>
      <c r="Q7921"/>
      <c r="R7921"/>
      <c r="S7921"/>
    </row>
    <row r="7922" spans="1:19" x14ac:dyDescent="0.25">
      <c r="A7922" s="1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  <c r="P7922"/>
      <c r="Q7922"/>
      <c r="R7922"/>
      <c r="S7922"/>
    </row>
    <row r="7923" spans="1:19" x14ac:dyDescent="0.25">
      <c r="A7923" s="1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  <c r="P7923"/>
      <c r="Q7923"/>
      <c r="R7923"/>
      <c r="S7923"/>
    </row>
    <row r="7924" spans="1:19" x14ac:dyDescent="0.25">
      <c r="A7924" s="1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  <c r="P7924"/>
      <c r="Q7924"/>
      <c r="R7924"/>
      <c r="S7924"/>
    </row>
    <row r="7925" spans="1:19" x14ac:dyDescent="0.25">
      <c r="A7925" s="1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  <c r="P7925"/>
      <c r="Q7925"/>
      <c r="R7925"/>
      <c r="S7925"/>
    </row>
    <row r="7926" spans="1:19" x14ac:dyDescent="0.25">
      <c r="A7926" s="1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  <c r="P7926"/>
      <c r="Q7926"/>
      <c r="R7926"/>
      <c r="S7926"/>
    </row>
    <row r="7927" spans="1:19" x14ac:dyDescent="0.25">
      <c r="A7927" s="1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  <c r="P7927"/>
      <c r="Q7927"/>
      <c r="R7927"/>
      <c r="S7927"/>
    </row>
    <row r="7928" spans="1:19" x14ac:dyDescent="0.25">
      <c r="A7928" s="1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  <c r="P7928"/>
      <c r="Q7928"/>
      <c r="R7928"/>
      <c r="S7928"/>
    </row>
    <row r="7929" spans="1:19" x14ac:dyDescent="0.25">
      <c r="A7929" s="1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  <c r="P7929"/>
      <c r="Q7929"/>
      <c r="R7929"/>
      <c r="S7929"/>
    </row>
    <row r="7930" spans="1:19" x14ac:dyDescent="0.25">
      <c r="A7930" s="1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  <c r="P7930"/>
      <c r="Q7930"/>
      <c r="R7930"/>
      <c r="S7930"/>
    </row>
    <row r="7931" spans="1:19" x14ac:dyDescent="0.25">
      <c r="A7931" s="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  <c r="P7931"/>
      <c r="Q7931"/>
      <c r="R7931"/>
      <c r="S7931"/>
    </row>
    <row r="7932" spans="1:19" x14ac:dyDescent="0.25">
      <c r="A7932" s="1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  <c r="P7932"/>
      <c r="Q7932"/>
      <c r="R7932"/>
      <c r="S7932"/>
    </row>
    <row r="7933" spans="1:19" x14ac:dyDescent="0.25">
      <c r="A7933" s="1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  <c r="P7933"/>
      <c r="Q7933"/>
      <c r="R7933"/>
      <c r="S7933"/>
    </row>
    <row r="7934" spans="1:19" x14ac:dyDescent="0.25">
      <c r="A7934" s="1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  <c r="P7934"/>
      <c r="Q7934"/>
      <c r="R7934"/>
      <c r="S7934"/>
    </row>
    <row r="7935" spans="1:19" x14ac:dyDescent="0.25">
      <c r="A7935" s="1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  <c r="P7935"/>
      <c r="Q7935"/>
      <c r="R7935"/>
      <c r="S7935"/>
    </row>
    <row r="7936" spans="1:19" x14ac:dyDescent="0.25">
      <c r="A7936" s="1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  <c r="P7936"/>
      <c r="Q7936"/>
      <c r="R7936"/>
      <c r="S7936"/>
    </row>
    <row r="7937" spans="1:19" x14ac:dyDescent="0.25">
      <c r="A7937" s="1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  <c r="P7937"/>
      <c r="Q7937"/>
      <c r="R7937"/>
      <c r="S7937"/>
    </row>
    <row r="7938" spans="1:19" x14ac:dyDescent="0.25">
      <c r="A7938" s="1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  <c r="P7938"/>
      <c r="Q7938"/>
      <c r="R7938"/>
      <c r="S7938"/>
    </row>
    <row r="7939" spans="1:19" x14ac:dyDescent="0.25">
      <c r="A7939" s="1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  <c r="P7939"/>
      <c r="Q7939"/>
      <c r="R7939"/>
      <c r="S7939"/>
    </row>
    <row r="7940" spans="1:19" x14ac:dyDescent="0.25">
      <c r="A7940" s="1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  <c r="P7940"/>
      <c r="Q7940"/>
      <c r="R7940"/>
      <c r="S7940"/>
    </row>
    <row r="7941" spans="1:19" x14ac:dyDescent="0.25">
      <c r="A7941" s="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  <c r="P7941"/>
      <c r="Q7941"/>
      <c r="R7941"/>
      <c r="S7941"/>
    </row>
    <row r="7942" spans="1:19" x14ac:dyDescent="0.25">
      <c r="A7942" s="1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  <c r="P7942"/>
      <c r="Q7942"/>
      <c r="R7942"/>
      <c r="S7942"/>
    </row>
    <row r="7943" spans="1:19" x14ac:dyDescent="0.25">
      <c r="A7943" s="1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  <c r="P7943"/>
      <c r="Q7943"/>
      <c r="R7943"/>
      <c r="S7943"/>
    </row>
    <row r="7944" spans="1:19" x14ac:dyDescent="0.25">
      <c r="A7944" s="1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  <c r="P7944"/>
      <c r="Q7944"/>
      <c r="R7944"/>
      <c r="S7944"/>
    </row>
    <row r="7945" spans="1:19" x14ac:dyDescent="0.25">
      <c r="A7945" s="1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  <c r="P7945"/>
      <c r="Q7945"/>
      <c r="R7945"/>
      <c r="S7945"/>
    </row>
    <row r="7946" spans="1:19" x14ac:dyDescent="0.25">
      <c r="A7946" s="1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  <c r="P7946"/>
      <c r="Q7946"/>
      <c r="R7946"/>
      <c r="S7946"/>
    </row>
    <row r="7947" spans="1:19" x14ac:dyDescent="0.25">
      <c r="A7947" s="1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  <c r="P7947"/>
      <c r="Q7947"/>
      <c r="R7947"/>
      <c r="S7947"/>
    </row>
    <row r="7948" spans="1:19" x14ac:dyDescent="0.25">
      <c r="A7948" s="1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  <c r="P7948"/>
      <c r="Q7948"/>
      <c r="R7948"/>
      <c r="S7948"/>
    </row>
    <row r="7949" spans="1:19" x14ac:dyDescent="0.25">
      <c r="A7949" s="1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  <c r="P7949"/>
      <c r="Q7949"/>
      <c r="R7949"/>
      <c r="S7949"/>
    </row>
    <row r="7950" spans="1:19" x14ac:dyDescent="0.25">
      <c r="A7950" s="1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  <c r="P7950"/>
      <c r="Q7950"/>
      <c r="R7950"/>
      <c r="S7950"/>
    </row>
    <row r="7951" spans="1:19" x14ac:dyDescent="0.25">
      <c r="A7951" s="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  <c r="P7951"/>
      <c r="Q7951"/>
      <c r="R7951"/>
      <c r="S7951"/>
    </row>
    <row r="7952" spans="1:19" x14ac:dyDescent="0.25">
      <c r="A7952" s="1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  <c r="P7952"/>
      <c r="Q7952"/>
      <c r="R7952"/>
      <c r="S7952"/>
    </row>
    <row r="7953" spans="1:19" x14ac:dyDescent="0.25">
      <c r="A7953" s="1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  <c r="P7953"/>
      <c r="Q7953"/>
      <c r="R7953"/>
      <c r="S7953"/>
    </row>
    <row r="7954" spans="1:19" x14ac:dyDescent="0.25">
      <c r="A7954" s="1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  <c r="P7954"/>
      <c r="Q7954"/>
      <c r="R7954"/>
      <c r="S7954"/>
    </row>
    <row r="7955" spans="1:19" x14ac:dyDescent="0.25">
      <c r="A7955" s="1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  <c r="P7955"/>
      <c r="Q7955"/>
      <c r="R7955"/>
      <c r="S7955"/>
    </row>
    <row r="7956" spans="1:19" x14ac:dyDescent="0.25">
      <c r="A7956" s="1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  <c r="P7956"/>
      <c r="Q7956"/>
      <c r="R7956"/>
      <c r="S7956"/>
    </row>
    <row r="7957" spans="1:19" x14ac:dyDescent="0.25">
      <c r="A7957" s="1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  <c r="P7957"/>
      <c r="Q7957"/>
      <c r="R7957"/>
      <c r="S7957"/>
    </row>
    <row r="7958" spans="1:19" x14ac:dyDescent="0.25">
      <c r="A7958" s="1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  <c r="P7958"/>
      <c r="Q7958"/>
      <c r="R7958"/>
      <c r="S7958"/>
    </row>
    <row r="7959" spans="1:19" x14ac:dyDescent="0.25">
      <c r="A7959" s="1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  <c r="P7959"/>
      <c r="Q7959"/>
      <c r="R7959"/>
      <c r="S7959"/>
    </row>
    <row r="7960" spans="1:19" x14ac:dyDescent="0.25">
      <c r="A7960" s="1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  <c r="P7960"/>
      <c r="Q7960"/>
      <c r="R7960"/>
      <c r="S7960"/>
    </row>
    <row r="7961" spans="1:19" x14ac:dyDescent="0.25">
      <c r="A7961" s="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  <c r="P7961"/>
      <c r="Q7961"/>
      <c r="R7961"/>
      <c r="S7961"/>
    </row>
    <row r="7962" spans="1:19" x14ac:dyDescent="0.25">
      <c r="A7962" s="1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  <c r="P7962"/>
      <c r="Q7962"/>
      <c r="R7962"/>
      <c r="S7962"/>
    </row>
    <row r="7963" spans="1:19" x14ac:dyDescent="0.25">
      <c r="A7963" s="1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  <c r="P7963"/>
      <c r="Q7963"/>
      <c r="R7963"/>
      <c r="S7963"/>
    </row>
    <row r="7964" spans="1:19" x14ac:dyDescent="0.25">
      <c r="A7964" s="1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  <c r="P7964"/>
      <c r="Q7964"/>
      <c r="R7964"/>
      <c r="S7964"/>
    </row>
    <row r="7965" spans="1:19" x14ac:dyDescent="0.25">
      <c r="A7965" s="1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  <c r="P7965"/>
      <c r="Q7965"/>
      <c r="R7965"/>
      <c r="S7965"/>
    </row>
    <row r="7966" spans="1:19" x14ac:dyDescent="0.25">
      <c r="A7966" s="1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  <c r="P7966"/>
      <c r="Q7966"/>
      <c r="R7966"/>
      <c r="S7966"/>
    </row>
    <row r="7967" spans="1:19" x14ac:dyDescent="0.25">
      <c r="A7967" s="1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  <c r="P7967"/>
      <c r="Q7967"/>
      <c r="R7967"/>
      <c r="S7967"/>
    </row>
    <row r="7968" spans="1:19" x14ac:dyDescent="0.25">
      <c r="A7968" s="1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  <c r="P7968"/>
      <c r="Q7968"/>
      <c r="R7968"/>
      <c r="S7968"/>
    </row>
    <row r="7969" spans="1:19" x14ac:dyDescent="0.25">
      <c r="A7969" s="1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  <c r="P7969"/>
      <c r="Q7969"/>
      <c r="R7969"/>
      <c r="S7969"/>
    </row>
    <row r="7970" spans="1:19" x14ac:dyDescent="0.25">
      <c r="A7970" s="1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  <c r="P7970"/>
      <c r="Q7970"/>
      <c r="R7970"/>
      <c r="S7970"/>
    </row>
    <row r="7971" spans="1:19" x14ac:dyDescent="0.25">
      <c r="A7971" s="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  <c r="P7971"/>
      <c r="Q7971"/>
      <c r="R7971"/>
      <c r="S7971"/>
    </row>
    <row r="7972" spans="1:19" x14ac:dyDescent="0.25">
      <c r="A7972" s="1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  <c r="P7972"/>
      <c r="Q7972"/>
      <c r="R7972"/>
      <c r="S7972"/>
    </row>
    <row r="7973" spans="1:19" x14ac:dyDescent="0.25">
      <c r="A7973" s="1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  <c r="P7973"/>
      <c r="Q7973"/>
      <c r="R7973"/>
      <c r="S7973"/>
    </row>
    <row r="7974" spans="1:19" x14ac:dyDescent="0.25">
      <c r="A7974" s="1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  <c r="P7974"/>
      <c r="Q7974"/>
      <c r="R7974"/>
      <c r="S7974"/>
    </row>
    <row r="7975" spans="1:19" x14ac:dyDescent="0.25">
      <c r="A7975" s="1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  <c r="P7975"/>
      <c r="Q7975"/>
      <c r="R7975"/>
      <c r="S7975"/>
    </row>
    <row r="7976" spans="1:19" x14ac:dyDescent="0.25">
      <c r="A7976" s="1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  <c r="P7976"/>
      <c r="Q7976"/>
      <c r="R7976"/>
      <c r="S7976"/>
    </row>
    <row r="7977" spans="1:19" x14ac:dyDescent="0.25">
      <c r="A7977" s="1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  <c r="P7977"/>
      <c r="Q7977"/>
      <c r="R7977"/>
      <c r="S7977"/>
    </row>
    <row r="7978" spans="1:19" x14ac:dyDescent="0.25">
      <c r="A7978" s="1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  <c r="P7978"/>
      <c r="Q7978"/>
      <c r="R7978"/>
      <c r="S7978"/>
    </row>
    <row r="7979" spans="1:19" x14ac:dyDescent="0.25">
      <c r="A7979" s="1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  <c r="P7979"/>
      <c r="Q7979"/>
      <c r="R7979"/>
      <c r="S7979"/>
    </row>
    <row r="7980" spans="1:19" x14ac:dyDescent="0.25">
      <c r="A7980" s="1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  <c r="P7980"/>
      <c r="Q7980"/>
      <c r="R7980"/>
      <c r="S7980"/>
    </row>
    <row r="7981" spans="1:19" x14ac:dyDescent="0.25">
      <c r="A7981" s="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  <c r="P7981"/>
      <c r="Q7981"/>
      <c r="R7981"/>
      <c r="S7981"/>
    </row>
    <row r="7982" spans="1:19" x14ac:dyDescent="0.25">
      <c r="A7982" s="1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  <c r="P7982"/>
      <c r="Q7982"/>
      <c r="R7982"/>
      <c r="S7982"/>
    </row>
    <row r="7983" spans="1:19" x14ac:dyDescent="0.25">
      <c r="A7983" s="1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  <c r="P7983"/>
      <c r="Q7983"/>
      <c r="R7983"/>
      <c r="S7983"/>
    </row>
    <row r="7984" spans="1:19" x14ac:dyDescent="0.25">
      <c r="A7984" s="1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  <c r="P7984"/>
      <c r="Q7984"/>
      <c r="R7984"/>
      <c r="S7984"/>
    </row>
    <row r="7985" spans="1:19" x14ac:dyDescent="0.25">
      <c r="A7985" s="1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  <c r="P7985"/>
      <c r="Q7985"/>
      <c r="R7985"/>
      <c r="S7985"/>
    </row>
    <row r="7986" spans="1:19" x14ac:dyDescent="0.25">
      <c r="A7986" s="1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  <c r="P7986"/>
      <c r="Q7986"/>
      <c r="R7986"/>
      <c r="S7986"/>
    </row>
    <row r="7987" spans="1:19" x14ac:dyDescent="0.25">
      <c r="A7987" s="1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  <c r="P7987"/>
      <c r="Q7987"/>
      <c r="R7987"/>
      <c r="S7987"/>
    </row>
    <row r="7988" spans="1:19" x14ac:dyDescent="0.25">
      <c r="A7988" s="1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  <c r="P7988"/>
      <c r="Q7988"/>
      <c r="R7988"/>
      <c r="S7988"/>
    </row>
    <row r="7989" spans="1:19" x14ac:dyDescent="0.25">
      <c r="A7989" s="1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  <c r="P7989"/>
      <c r="Q7989"/>
      <c r="R7989"/>
      <c r="S7989"/>
    </row>
    <row r="7990" spans="1:19" x14ac:dyDescent="0.25">
      <c r="A7990" s="1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  <c r="P7990"/>
      <c r="Q7990"/>
      <c r="R7990"/>
      <c r="S7990"/>
    </row>
    <row r="7991" spans="1:19" x14ac:dyDescent="0.25">
      <c r="A7991" s="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  <c r="P7991"/>
      <c r="Q7991"/>
      <c r="R7991"/>
      <c r="S7991"/>
    </row>
    <row r="7992" spans="1:19" x14ac:dyDescent="0.25">
      <c r="A7992" s="1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  <c r="P7992"/>
      <c r="Q7992"/>
      <c r="R7992"/>
      <c r="S7992"/>
    </row>
    <row r="7993" spans="1:19" x14ac:dyDescent="0.25">
      <c r="A7993" s="1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  <c r="P7993"/>
      <c r="Q7993"/>
      <c r="R7993"/>
      <c r="S7993"/>
    </row>
    <row r="7994" spans="1:19" x14ac:dyDescent="0.25">
      <c r="A7994" s="1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  <c r="P7994"/>
      <c r="Q7994"/>
      <c r="R7994"/>
      <c r="S7994"/>
    </row>
    <row r="7995" spans="1:19" x14ac:dyDescent="0.25">
      <c r="A7995" s="1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  <c r="P7995"/>
      <c r="Q7995"/>
      <c r="R7995"/>
      <c r="S7995"/>
    </row>
    <row r="7996" spans="1:19" x14ac:dyDescent="0.25">
      <c r="A7996" s="1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  <c r="P7996"/>
      <c r="Q7996"/>
      <c r="R7996"/>
      <c r="S7996"/>
    </row>
    <row r="7997" spans="1:19" x14ac:dyDescent="0.25">
      <c r="A7997" s="1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  <c r="P7997"/>
      <c r="Q7997"/>
      <c r="R7997"/>
      <c r="S7997"/>
    </row>
    <row r="7998" spans="1:19" x14ac:dyDescent="0.25">
      <c r="A7998" s="1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  <c r="P7998"/>
      <c r="Q7998"/>
      <c r="R7998"/>
      <c r="S7998"/>
    </row>
    <row r="7999" spans="1:19" x14ac:dyDescent="0.25">
      <c r="A7999" s="1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  <c r="P7999"/>
      <c r="Q7999"/>
      <c r="R7999"/>
      <c r="S7999"/>
    </row>
    <row r="8000" spans="1:19" x14ac:dyDescent="0.25">
      <c r="A8000" s="1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  <c r="P8000"/>
      <c r="Q8000"/>
      <c r="R8000"/>
      <c r="S8000"/>
    </row>
    <row r="8001" spans="1:19" x14ac:dyDescent="0.25">
      <c r="A8001" s="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  <c r="P8001"/>
      <c r="Q8001"/>
      <c r="R8001"/>
      <c r="S8001"/>
    </row>
    <row r="8002" spans="1:19" x14ac:dyDescent="0.25">
      <c r="A8002" s="1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  <c r="P8002"/>
      <c r="Q8002"/>
      <c r="R8002"/>
      <c r="S8002"/>
    </row>
    <row r="8003" spans="1:19" x14ac:dyDescent="0.25">
      <c r="A8003" s="1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  <c r="P8003"/>
      <c r="Q8003"/>
      <c r="R8003"/>
      <c r="S8003"/>
    </row>
    <row r="8004" spans="1:19" x14ac:dyDescent="0.25">
      <c r="A8004" s="1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  <c r="P8004"/>
      <c r="Q8004"/>
      <c r="R8004"/>
      <c r="S8004"/>
    </row>
    <row r="8005" spans="1:19" x14ac:dyDescent="0.25">
      <c r="A8005" s="1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  <c r="P8005"/>
      <c r="Q8005"/>
      <c r="R8005"/>
      <c r="S8005"/>
    </row>
    <row r="8006" spans="1:19" x14ac:dyDescent="0.25">
      <c r="A8006" s="1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  <c r="P8006"/>
      <c r="Q8006"/>
      <c r="R8006"/>
      <c r="S8006"/>
    </row>
    <row r="8007" spans="1:19" x14ac:dyDescent="0.25">
      <c r="A8007" s="1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  <c r="P8007"/>
      <c r="Q8007"/>
      <c r="R8007"/>
      <c r="S8007"/>
    </row>
    <row r="8008" spans="1:19" x14ac:dyDescent="0.25">
      <c r="A8008" s="1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  <c r="P8008"/>
      <c r="Q8008"/>
      <c r="R8008"/>
      <c r="S8008"/>
    </row>
    <row r="8009" spans="1:19" x14ac:dyDescent="0.25">
      <c r="A8009" s="1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  <c r="P8009"/>
      <c r="Q8009"/>
      <c r="R8009"/>
      <c r="S8009"/>
    </row>
    <row r="8010" spans="1:19" x14ac:dyDescent="0.25">
      <c r="A8010" s="1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  <c r="P8010"/>
      <c r="Q8010"/>
      <c r="R8010"/>
      <c r="S8010"/>
    </row>
    <row r="8011" spans="1:19" x14ac:dyDescent="0.25">
      <c r="A8011" s="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  <c r="P8011"/>
      <c r="Q8011"/>
      <c r="R8011"/>
      <c r="S8011"/>
    </row>
    <row r="8012" spans="1:19" x14ac:dyDescent="0.25">
      <c r="A8012" s="1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  <c r="P8012"/>
      <c r="Q8012"/>
      <c r="R8012"/>
      <c r="S8012"/>
    </row>
    <row r="8013" spans="1:19" x14ac:dyDescent="0.25">
      <c r="A8013" s="1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  <c r="P8013"/>
      <c r="Q8013"/>
      <c r="R8013"/>
      <c r="S8013"/>
    </row>
    <row r="8014" spans="1:19" x14ac:dyDescent="0.25">
      <c r="A8014" s="1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  <c r="P8014"/>
      <c r="Q8014"/>
      <c r="R8014"/>
      <c r="S8014"/>
    </row>
    <row r="8015" spans="1:19" x14ac:dyDescent="0.25">
      <c r="A8015" s="1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  <c r="P8015"/>
      <c r="Q8015"/>
      <c r="R8015"/>
      <c r="S8015"/>
    </row>
    <row r="8016" spans="1:19" x14ac:dyDescent="0.25">
      <c r="A8016" s="1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  <c r="P8016"/>
      <c r="Q8016"/>
      <c r="R8016"/>
      <c r="S8016"/>
    </row>
    <row r="8017" spans="1:19" x14ac:dyDescent="0.25">
      <c r="A8017" s="1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  <c r="P8017"/>
      <c r="Q8017"/>
      <c r="R8017"/>
      <c r="S8017"/>
    </row>
    <row r="8018" spans="1:19" x14ac:dyDescent="0.25">
      <c r="A8018" s="1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  <c r="P8018"/>
      <c r="Q8018"/>
      <c r="R8018"/>
      <c r="S8018"/>
    </row>
    <row r="8019" spans="1:19" x14ac:dyDescent="0.25">
      <c r="A8019" s="1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  <c r="P8019"/>
      <c r="Q8019"/>
      <c r="R8019"/>
      <c r="S8019"/>
    </row>
    <row r="8020" spans="1:19" x14ac:dyDescent="0.25">
      <c r="A8020" s="1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  <c r="P8020"/>
      <c r="Q8020"/>
      <c r="R8020"/>
      <c r="S8020"/>
    </row>
    <row r="8021" spans="1:19" x14ac:dyDescent="0.25">
      <c r="A8021" s="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  <c r="P8021"/>
      <c r="Q8021"/>
      <c r="R8021"/>
      <c r="S8021"/>
    </row>
    <row r="8022" spans="1:19" x14ac:dyDescent="0.25">
      <c r="A8022" s="1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  <c r="P8022"/>
      <c r="Q8022"/>
      <c r="R8022"/>
      <c r="S8022"/>
    </row>
    <row r="8023" spans="1:19" x14ac:dyDescent="0.25">
      <c r="A8023" s="1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  <c r="P8023"/>
      <c r="Q8023"/>
      <c r="R8023"/>
      <c r="S8023"/>
    </row>
    <row r="8024" spans="1:19" x14ac:dyDescent="0.25">
      <c r="A8024" s="1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  <c r="P8024"/>
      <c r="Q8024"/>
      <c r="R8024"/>
      <c r="S8024"/>
    </row>
    <row r="8025" spans="1:19" x14ac:dyDescent="0.25">
      <c r="A8025" s="1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  <c r="P8025"/>
      <c r="Q8025"/>
      <c r="R8025"/>
      <c r="S8025"/>
    </row>
    <row r="8026" spans="1:19" x14ac:dyDescent="0.25">
      <c r="A8026" s="1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  <c r="P8026"/>
      <c r="Q8026"/>
      <c r="R8026"/>
      <c r="S8026"/>
    </row>
    <row r="8027" spans="1:19" x14ac:dyDescent="0.25">
      <c r="A8027" s="1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  <c r="P8027"/>
      <c r="Q8027"/>
      <c r="R8027"/>
      <c r="S8027"/>
    </row>
    <row r="8028" spans="1:19" x14ac:dyDescent="0.25">
      <c r="A8028" s="1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  <c r="P8028"/>
      <c r="Q8028"/>
      <c r="R8028"/>
      <c r="S8028"/>
    </row>
    <row r="8029" spans="1:19" x14ac:dyDescent="0.25">
      <c r="A8029" s="1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  <c r="P8029"/>
      <c r="Q8029"/>
      <c r="R8029"/>
      <c r="S8029"/>
    </row>
    <row r="8030" spans="1:19" x14ac:dyDescent="0.25">
      <c r="A8030" s="1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  <c r="P8030"/>
      <c r="Q8030"/>
      <c r="R8030"/>
      <c r="S8030"/>
    </row>
    <row r="8031" spans="1:19" x14ac:dyDescent="0.25">
      <c r="A8031" s="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  <c r="P8031"/>
      <c r="Q8031"/>
      <c r="R8031"/>
      <c r="S8031"/>
    </row>
    <row r="8032" spans="1:19" x14ac:dyDescent="0.25">
      <c r="A8032" s="1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  <c r="P8032"/>
      <c r="Q8032"/>
      <c r="R8032"/>
      <c r="S8032"/>
    </row>
    <row r="8033" spans="1:19" x14ac:dyDescent="0.25">
      <c r="A8033" s="1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  <c r="P8033"/>
      <c r="Q8033"/>
      <c r="R8033"/>
      <c r="S8033"/>
    </row>
    <row r="8034" spans="1:19" x14ac:dyDescent="0.25">
      <c r="A8034" s="1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  <c r="P8034"/>
      <c r="Q8034"/>
      <c r="R8034"/>
      <c r="S8034"/>
    </row>
    <row r="8035" spans="1:19" x14ac:dyDescent="0.25">
      <c r="A8035" s="1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  <c r="P8035"/>
      <c r="Q8035"/>
      <c r="R8035"/>
      <c r="S8035"/>
    </row>
    <row r="8036" spans="1:19" x14ac:dyDescent="0.25">
      <c r="A8036" s="1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  <c r="P8036"/>
      <c r="Q8036"/>
      <c r="R8036"/>
      <c r="S8036"/>
    </row>
    <row r="8037" spans="1:19" x14ac:dyDescent="0.25">
      <c r="A8037" s="1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  <c r="P8037"/>
      <c r="Q8037"/>
      <c r="R8037"/>
      <c r="S8037"/>
    </row>
    <row r="8038" spans="1:19" x14ac:dyDescent="0.25">
      <c r="A8038" s="1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  <c r="P8038"/>
      <c r="Q8038"/>
      <c r="R8038"/>
      <c r="S8038"/>
    </row>
    <row r="8039" spans="1:19" x14ac:dyDescent="0.25">
      <c r="A8039" s="1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  <c r="P8039"/>
      <c r="Q8039"/>
      <c r="R8039"/>
      <c r="S8039"/>
    </row>
    <row r="8040" spans="1:19" x14ac:dyDescent="0.25">
      <c r="A8040" s="1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  <c r="P8040"/>
      <c r="Q8040"/>
      <c r="R8040"/>
      <c r="S8040"/>
    </row>
    <row r="8041" spans="1:19" x14ac:dyDescent="0.25">
      <c r="A8041" s="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  <c r="P8041"/>
      <c r="Q8041"/>
      <c r="R8041"/>
      <c r="S8041"/>
    </row>
    <row r="8042" spans="1:19" x14ac:dyDescent="0.25">
      <c r="A8042" s="1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  <c r="P8042"/>
      <c r="Q8042"/>
      <c r="R8042"/>
      <c r="S8042"/>
    </row>
    <row r="8043" spans="1:19" x14ac:dyDescent="0.25">
      <c r="A8043" s="1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  <c r="P8043"/>
      <c r="Q8043"/>
      <c r="R8043"/>
      <c r="S8043"/>
    </row>
    <row r="8044" spans="1:19" x14ac:dyDescent="0.25">
      <c r="A8044" s="1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  <c r="P8044"/>
      <c r="Q8044"/>
      <c r="R8044"/>
      <c r="S8044"/>
    </row>
    <row r="8045" spans="1:19" x14ac:dyDescent="0.25">
      <c r="A8045" s="1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  <c r="P8045"/>
      <c r="Q8045"/>
      <c r="R8045"/>
      <c r="S8045"/>
    </row>
    <row r="8046" spans="1:19" x14ac:dyDescent="0.25">
      <c r="A8046" s="1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  <c r="P8046"/>
      <c r="Q8046"/>
      <c r="R8046"/>
      <c r="S8046"/>
    </row>
    <row r="8047" spans="1:19" x14ac:dyDescent="0.25">
      <c r="A8047" s="1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  <c r="P8047"/>
      <c r="Q8047"/>
      <c r="R8047"/>
      <c r="S8047"/>
    </row>
    <row r="8048" spans="1:19" x14ac:dyDescent="0.25">
      <c r="A8048" s="1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  <c r="P8048"/>
      <c r="Q8048"/>
      <c r="R8048"/>
      <c r="S8048"/>
    </row>
    <row r="8049" spans="1:19" x14ac:dyDescent="0.25">
      <c r="A8049" s="1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  <c r="P8049"/>
      <c r="Q8049"/>
      <c r="R8049"/>
      <c r="S8049"/>
    </row>
    <row r="8050" spans="1:19" x14ac:dyDescent="0.25">
      <c r="A8050" s="1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  <c r="P8050"/>
      <c r="Q8050"/>
      <c r="R8050"/>
      <c r="S8050"/>
    </row>
    <row r="8051" spans="1:19" x14ac:dyDescent="0.25">
      <c r="A8051" s="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  <c r="P8051"/>
      <c r="Q8051"/>
      <c r="R8051"/>
      <c r="S8051"/>
    </row>
    <row r="8052" spans="1:19" x14ac:dyDescent="0.25">
      <c r="A8052" s="1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  <c r="P8052"/>
      <c r="Q8052"/>
      <c r="R8052"/>
      <c r="S8052"/>
    </row>
    <row r="8053" spans="1:19" x14ac:dyDescent="0.25">
      <c r="A8053" s="1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  <c r="P8053"/>
      <c r="Q8053"/>
      <c r="R8053"/>
      <c r="S8053"/>
    </row>
    <row r="8054" spans="1:19" x14ac:dyDescent="0.25">
      <c r="A8054" s="1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  <c r="P8054"/>
      <c r="Q8054"/>
      <c r="R8054"/>
      <c r="S8054"/>
    </row>
    <row r="8055" spans="1:19" x14ac:dyDescent="0.25">
      <c r="A8055" s="1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  <c r="P8055"/>
      <c r="Q8055"/>
      <c r="R8055"/>
      <c r="S8055"/>
    </row>
    <row r="8056" spans="1:19" x14ac:dyDescent="0.25">
      <c r="A8056" s="1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  <c r="P8056"/>
      <c r="Q8056"/>
      <c r="R8056"/>
      <c r="S8056"/>
    </row>
    <row r="8057" spans="1:19" x14ac:dyDescent="0.25">
      <c r="A8057" s="1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  <c r="P8057"/>
      <c r="Q8057"/>
      <c r="R8057"/>
      <c r="S8057"/>
    </row>
    <row r="8058" spans="1:19" x14ac:dyDescent="0.25">
      <c r="A8058" s="1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  <c r="P8058"/>
      <c r="Q8058"/>
      <c r="R8058"/>
      <c r="S8058"/>
    </row>
    <row r="8059" spans="1:19" x14ac:dyDescent="0.25">
      <c r="A8059" s="1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  <c r="P8059"/>
      <c r="Q8059"/>
      <c r="R8059"/>
      <c r="S8059"/>
    </row>
    <row r="8060" spans="1:19" x14ac:dyDescent="0.25">
      <c r="A8060" s="1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  <c r="P8060"/>
      <c r="Q8060"/>
      <c r="R8060"/>
      <c r="S8060"/>
    </row>
    <row r="8061" spans="1:19" x14ac:dyDescent="0.25">
      <c r="A8061" s="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  <c r="P8061"/>
      <c r="Q8061"/>
      <c r="R8061"/>
      <c r="S8061"/>
    </row>
    <row r="8062" spans="1:19" x14ac:dyDescent="0.25">
      <c r="A8062" s="1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  <c r="P8062"/>
      <c r="Q8062"/>
      <c r="R8062"/>
      <c r="S8062"/>
    </row>
    <row r="8063" spans="1:19" x14ac:dyDescent="0.25">
      <c r="A8063" s="1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  <c r="P8063"/>
      <c r="Q8063"/>
      <c r="R8063"/>
      <c r="S8063"/>
    </row>
    <row r="8064" spans="1:19" x14ac:dyDescent="0.25">
      <c r="A8064" s="1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  <c r="P8064"/>
      <c r="Q8064"/>
      <c r="R8064"/>
      <c r="S8064"/>
    </row>
    <row r="8065" spans="1:19" x14ac:dyDescent="0.25">
      <c r="A8065" s="1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  <c r="P8065"/>
      <c r="Q8065"/>
      <c r="R8065"/>
      <c r="S8065"/>
    </row>
    <row r="8066" spans="1:19" x14ac:dyDescent="0.25">
      <c r="A8066" s="1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  <c r="P8066"/>
      <c r="Q8066"/>
      <c r="R8066"/>
      <c r="S8066"/>
    </row>
    <row r="8067" spans="1:19" x14ac:dyDescent="0.25">
      <c r="A8067" s="1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  <c r="P8067"/>
      <c r="Q8067"/>
      <c r="R8067"/>
      <c r="S8067"/>
    </row>
    <row r="8068" spans="1:19" x14ac:dyDescent="0.25">
      <c r="A8068" s="1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  <c r="P8068"/>
      <c r="Q8068"/>
      <c r="R8068"/>
      <c r="S8068"/>
    </row>
    <row r="8069" spans="1:19" x14ac:dyDescent="0.25">
      <c r="A8069" s="1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  <c r="P8069"/>
      <c r="Q8069"/>
      <c r="R8069"/>
      <c r="S8069"/>
    </row>
    <row r="8070" spans="1:19" x14ac:dyDescent="0.25">
      <c r="A8070" s="1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  <c r="P8070"/>
      <c r="Q8070"/>
      <c r="R8070"/>
      <c r="S8070"/>
    </row>
    <row r="8071" spans="1:19" x14ac:dyDescent="0.25">
      <c r="A8071" s="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  <c r="P8071"/>
      <c r="Q8071"/>
      <c r="R8071"/>
      <c r="S8071"/>
    </row>
    <row r="8072" spans="1:19" x14ac:dyDescent="0.25">
      <c r="A8072" s="1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  <c r="P8072"/>
      <c r="Q8072"/>
      <c r="R8072"/>
      <c r="S8072"/>
    </row>
    <row r="8073" spans="1:19" x14ac:dyDescent="0.25">
      <c r="A8073" s="1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  <c r="P8073"/>
      <c r="Q8073"/>
      <c r="R8073"/>
      <c r="S8073"/>
    </row>
    <row r="8074" spans="1:19" x14ac:dyDescent="0.25">
      <c r="A8074" s="1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  <c r="P8074"/>
      <c r="Q8074"/>
      <c r="R8074"/>
      <c r="S8074"/>
    </row>
    <row r="8075" spans="1:19" x14ac:dyDescent="0.25">
      <c r="A8075" s="1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  <c r="P8075"/>
      <c r="Q8075"/>
      <c r="R8075"/>
      <c r="S8075"/>
    </row>
    <row r="8076" spans="1:19" x14ac:dyDescent="0.25">
      <c r="A8076" s="1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  <c r="P8076"/>
      <c r="Q8076"/>
      <c r="R8076"/>
      <c r="S8076"/>
    </row>
    <row r="8077" spans="1:19" x14ac:dyDescent="0.25">
      <c r="A8077" s="1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  <c r="P8077"/>
      <c r="Q8077"/>
      <c r="R8077"/>
      <c r="S8077"/>
    </row>
    <row r="8078" spans="1:19" x14ac:dyDescent="0.25">
      <c r="A8078" s="1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  <c r="P8078"/>
      <c r="Q8078"/>
      <c r="R8078"/>
      <c r="S8078"/>
    </row>
    <row r="8079" spans="1:19" x14ac:dyDescent="0.25">
      <c r="A8079" s="1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  <c r="P8079"/>
      <c r="Q8079"/>
      <c r="R8079"/>
      <c r="S8079"/>
    </row>
    <row r="8080" spans="1:19" x14ac:dyDescent="0.25">
      <c r="A8080" s="1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  <c r="P8080"/>
      <c r="Q8080"/>
      <c r="R8080"/>
      <c r="S8080"/>
    </row>
    <row r="8081" spans="1:19" x14ac:dyDescent="0.25">
      <c r="A8081" s="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  <c r="P8081"/>
      <c r="Q8081"/>
      <c r="R8081"/>
      <c r="S8081"/>
    </row>
    <row r="8082" spans="1:19" x14ac:dyDescent="0.25">
      <c r="A8082" s="1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  <c r="P8082"/>
      <c r="Q8082"/>
      <c r="R8082"/>
      <c r="S8082"/>
    </row>
    <row r="8083" spans="1:19" x14ac:dyDescent="0.25">
      <c r="A8083" s="1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  <c r="P8083"/>
      <c r="Q8083"/>
      <c r="R8083"/>
      <c r="S8083"/>
    </row>
    <row r="8084" spans="1:19" x14ac:dyDescent="0.25">
      <c r="A8084" s="1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  <c r="P8084"/>
      <c r="Q8084"/>
      <c r="R8084"/>
      <c r="S8084"/>
    </row>
    <row r="8085" spans="1:19" x14ac:dyDescent="0.25">
      <c r="A8085" s="1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  <c r="P8085"/>
      <c r="Q8085"/>
      <c r="R8085"/>
      <c r="S8085"/>
    </row>
    <row r="8086" spans="1:19" x14ac:dyDescent="0.25">
      <c r="A8086" s="1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  <c r="P8086"/>
      <c r="Q8086"/>
      <c r="R8086"/>
      <c r="S8086"/>
    </row>
    <row r="8087" spans="1:19" x14ac:dyDescent="0.25">
      <c r="A8087" s="1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  <c r="P8087"/>
      <c r="Q8087"/>
      <c r="R8087"/>
      <c r="S8087"/>
    </row>
    <row r="8088" spans="1:19" x14ac:dyDescent="0.25">
      <c r="A8088" s="1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  <c r="P8088"/>
      <c r="Q8088"/>
      <c r="R8088"/>
      <c r="S8088"/>
    </row>
    <row r="8089" spans="1:19" x14ac:dyDescent="0.25">
      <c r="A8089" s="1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  <c r="P8089"/>
      <c r="Q8089"/>
      <c r="R8089"/>
      <c r="S8089"/>
    </row>
    <row r="8090" spans="1:19" x14ac:dyDescent="0.25">
      <c r="A8090" s="1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  <c r="P8090"/>
      <c r="Q8090"/>
      <c r="R8090"/>
      <c r="S8090"/>
    </row>
    <row r="8091" spans="1:19" x14ac:dyDescent="0.25">
      <c r="A8091" s="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  <c r="P8091"/>
      <c r="Q8091"/>
      <c r="R8091"/>
      <c r="S8091"/>
    </row>
    <row r="8092" spans="1:19" x14ac:dyDescent="0.25">
      <c r="A8092" s="1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  <c r="P8092"/>
      <c r="Q8092"/>
      <c r="R8092"/>
      <c r="S8092"/>
    </row>
    <row r="8093" spans="1:19" x14ac:dyDescent="0.25">
      <c r="A8093" s="1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  <c r="P8093"/>
      <c r="Q8093"/>
      <c r="R8093"/>
      <c r="S8093"/>
    </row>
    <row r="8094" spans="1:19" x14ac:dyDescent="0.25">
      <c r="A8094" s="1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  <c r="P8094"/>
      <c r="Q8094"/>
      <c r="R8094"/>
      <c r="S8094"/>
    </row>
    <row r="8095" spans="1:19" x14ac:dyDescent="0.25">
      <c r="A8095" s="1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  <c r="P8095"/>
      <c r="Q8095"/>
      <c r="R8095"/>
      <c r="S8095"/>
    </row>
    <row r="8096" spans="1:19" x14ac:dyDescent="0.25">
      <c r="A8096" s="1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  <c r="P8096"/>
      <c r="Q8096"/>
      <c r="R8096"/>
      <c r="S8096"/>
    </row>
    <row r="8097" spans="1:19" x14ac:dyDescent="0.25">
      <c r="A8097" s="1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  <c r="P8097"/>
      <c r="Q8097"/>
      <c r="R8097"/>
      <c r="S8097"/>
    </row>
    <row r="8098" spans="1:19" x14ac:dyDescent="0.25">
      <c r="A8098" s="1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  <c r="P8098"/>
      <c r="Q8098"/>
      <c r="R8098"/>
      <c r="S8098"/>
    </row>
    <row r="8099" spans="1:19" x14ac:dyDescent="0.25">
      <c r="A8099" s="1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  <c r="P8099"/>
      <c r="Q8099"/>
      <c r="R8099"/>
      <c r="S8099"/>
    </row>
    <row r="8100" spans="1:19" x14ac:dyDescent="0.25">
      <c r="A8100" s="1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  <c r="P8100"/>
      <c r="Q8100"/>
      <c r="R8100"/>
      <c r="S8100"/>
    </row>
    <row r="8101" spans="1:19" x14ac:dyDescent="0.25">
      <c r="A8101" s="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  <c r="P8101"/>
      <c r="Q8101"/>
      <c r="R8101"/>
      <c r="S8101"/>
    </row>
    <row r="8102" spans="1:19" x14ac:dyDescent="0.25">
      <c r="A8102" s="1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  <c r="P8102"/>
      <c r="Q8102"/>
      <c r="R8102"/>
      <c r="S8102"/>
    </row>
    <row r="8103" spans="1:19" x14ac:dyDescent="0.25">
      <c r="A8103" s="1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  <c r="P8103"/>
      <c r="Q8103"/>
      <c r="R8103"/>
      <c r="S8103"/>
    </row>
    <row r="8104" spans="1:19" x14ac:dyDescent="0.25">
      <c r="A8104" s="1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  <c r="P8104"/>
      <c r="Q8104"/>
      <c r="R8104"/>
      <c r="S8104"/>
    </row>
    <row r="8105" spans="1:19" x14ac:dyDescent="0.25">
      <c r="A8105" s="1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  <c r="P8105"/>
      <c r="Q8105"/>
      <c r="R8105"/>
      <c r="S8105"/>
    </row>
    <row r="8106" spans="1:19" x14ac:dyDescent="0.25">
      <c r="A8106" s="1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  <c r="P8106"/>
      <c r="Q8106"/>
      <c r="R8106"/>
      <c r="S8106"/>
    </row>
    <row r="8107" spans="1:19" x14ac:dyDescent="0.25">
      <c r="A8107" s="1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  <c r="P8107"/>
      <c r="Q8107"/>
      <c r="R8107"/>
      <c r="S8107"/>
    </row>
    <row r="8108" spans="1:19" x14ac:dyDescent="0.25">
      <c r="A8108" s="1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  <c r="P8108"/>
      <c r="Q8108"/>
      <c r="R8108"/>
      <c r="S8108"/>
    </row>
    <row r="8109" spans="1:19" x14ac:dyDescent="0.25">
      <c r="A8109" s="1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  <c r="P8109"/>
      <c r="Q8109"/>
      <c r="R8109"/>
      <c r="S8109"/>
    </row>
    <row r="8110" spans="1:19" x14ac:dyDescent="0.25">
      <c r="A8110" s="1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  <c r="P8110"/>
      <c r="Q8110"/>
      <c r="R8110"/>
      <c r="S8110"/>
    </row>
    <row r="8111" spans="1:19" x14ac:dyDescent="0.25">
      <c r="A8111" s="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  <c r="P8111"/>
      <c r="Q8111"/>
      <c r="R8111"/>
      <c r="S8111"/>
    </row>
    <row r="8112" spans="1:19" x14ac:dyDescent="0.25">
      <c r="A8112" s="1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  <c r="P8112"/>
      <c r="Q8112"/>
      <c r="R8112"/>
      <c r="S8112"/>
    </row>
    <row r="8113" spans="1:19" x14ac:dyDescent="0.25">
      <c r="A8113" s="1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  <c r="P8113"/>
      <c r="Q8113"/>
      <c r="R8113"/>
      <c r="S8113"/>
    </row>
    <row r="8114" spans="1:19" x14ac:dyDescent="0.25">
      <c r="A8114" s="1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  <c r="P8114"/>
      <c r="Q8114"/>
      <c r="R8114"/>
      <c r="S8114"/>
    </row>
    <row r="8115" spans="1:19" x14ac:dyDescent="0.25">
      <c r="A8115" s="1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  <c r="P8115"/>
      <c r="Q8115"/>
      <c r="R8115"/>
      <c r="S8115"/>
    </row>
    <row r="8116" spans="1:19" x14ac:dyDescent="0.25">
      <c r="A8116" s="1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  <c r="P8116"/>
      <c r="Q8116"/>
      <c r="R8116"/>
      <c r="S8116"/>
    </row>
    <row r="8117" spans="1:19" x14ac:dyDescent="0.25">
      <c r="A8117" s="1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  <c r="P8117"/>
      <c r="Q8117"/>
      <c r="R8117"/>
      <c r="S8117"/>
    </row>
    <row r="8118" spans="1:19" x14ac:dyDescent="0.25">
      <c r="A8118" s="1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  <c r="P8118"/>
      <c r="Q8118"/>
      <c r="R8118"/>
      <c r="S8118"/>
    </row>
    <row r="8119" spans="1:19" x14ac:dyDescent="0.25">
      <c r="A8119" s="1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  <c r="P8119"/>
      <c r="Q8119"/>
      <c r="R8119"/>
      <c r="S8119"/>
    </row>
    <row r="8120" spans="1:19" x14ac:dyDescent="0.25">
      <c r="A8120" s="1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  <c r="P8120"/>
      <c r="Q8120"/>
      <c r="R8120"/>
      <c r="S8120"/>
    </row>
    <row r="8121" spans="1:19" x14ac:dyDescent="0.25">
      <c r="A8121" s="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  <c r="P8121"/>
      <c r="Q8121"/>
      <c r="R8121"/>
      <c r="S8121"/>
    </row>
    <row r="8122" spans="1:19" x14ac:dyDescent="0.25">
      <c r="A8122" s="1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  <c r="P8122"/>
      <c r="Q8122"/>
      <c r="R8122"/>
      <c r="S8122"/>
    </row>
    <row r="8123" spans="1:19" x14ac:dyDescent="0.25">
      <c r="A8123" s="1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  <c r="P8123"/>
      <c r="Q8123"/>
      <c r="R8123"/>
      <c r="S8123"/>
    </row>
    <row r="8124" spans="1:19" x14ac:dyDescent="0.25">
      <c r="A8124" s="1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  <c r="P8124"/>
      <c r="Q8124"/>
      <c r="R8124"/>
      <c r="S8124"/>
    </row>
    <row r="8125" spans="1:19" x14ac:dyDescent="0.25">
      <c r="A8125" s="1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  <c r="P8125"/>
      <c r="Q8125"/>
      <c r="R8125"/>
      <c r="S8125"/>
    </row>
    <row r="8126" spans="1:19" x14ac:dyDescent="0.25">
      <c r="A8126" s="1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  <c r="P8126"/>
      <c r="Q8126"/>
      <c r="R8126"/>
      <c r="S8126"/>
    </row>
    <row r="8127" spans="1:19" x14ac:dyDescent="0.25">
      <c r="A8127" s="1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  <c r="P8127"/>
      <c r="Q8127"/>
      <c r="R8127"/>
      <c r="S8127"/>
    </row>
    <row r="8128" spans="1:19" x14ac:dyDescent="0.25">
      <c r="A8128" s="1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  <c r="P8128"/>
      <c r="Q8128"/>
      <c r="R8128"/>
      <c r="S8128"/>
    </row>
    <row r="8129" spans="1:19" x14ac:dyDescent="0.25">
      <c r="A8129" s="1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  <c r="P8129"/>
      <c r="Q8129"/>
      <c r="R8129"/>
      <c r="S8129"/>
    </row>
    <row r="8130" spans="1:19" x14ac:dyDescent="0.25">
      <c r="A8130" s="1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  <c r="P8130"/>
      <c r="Q8130"/>
      <c r="R8130"/>
      <c r="S8130"/>
    </row>
    <row r="8131" spans="1:19" x14ac:dyDescent="0.25">
      <c r="A8131" s="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  <c r="P8131"/>
      <c r="Q8131"/>
      <c r="R8131"/>
      <c r="S8131"/>
    </row>
    <row r="8132" spans="1:19" x14ac:dyDescent="0.25">
      <c r="A8132" s="1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  <c r="P8132"/>
      <c r="Q8132"/>
      <c r="R8132"/>
      <c r="S8132"/>
    </row>
    <row r="8133" spans="1:19" x14ac:dyDescent="0.25">
      <c r="A8133" s="1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  <c r="P8133"/>
      <c r="Q8133"/>
      <c r="R8133"/>
      <c r="S8133"/>
    </row>
    <row r="8134" spans="1:19" x14ac:dyDescent="0.25">
      <c r="A8134" s="1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  <c r="P8134"/>
      <c r="Q8134"/>
      <c r="R8134"/>
      <c r="S8134"/>
    </row>
    <row r="8135" spans="1:19" x14ac:dyDescent="0.25">
      <c r="A8135" s="1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  <c r="P8135"/>
      <c r="Q8135"/>
      <c r="R8135"/>
      <c r="S8135"/>
    </row>
    <row r="8136" spans="1:19" x14ac:dyDescent="0.25">
      <c r="A8136" s="1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  <c r="P8136"/>
      <c r="Q8136"/>
      <c r="R8136"/>
      <c r="S8136"/>
    </row>
    <row r="8137" spans="1:19" x14ac:dyDescent="0.25">
      <c r="A8137" s="1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  <c r="P8137"/>
      <c r="Q8137"/>
      <c r="R8137"/>
      <c r="S8137"/>
    </row>
    <row r="8138" spans="1:19" x14ac:dyDescent="0.25">
      <c r="A8138" s="1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  <c r="P8138"/>
      <c r="Q8138"/>
      <c r="R8138"/>
      <c r="S8138"/>
    </row>
    <row r="8139" spans="1:19" x14ac:dyDescent="0.25">
      <c r="A8139" s="1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  <c r="P8139"/>
      <c r="Q8139"/>
      <c r="R8139"/>
      <c r="S8139"/>
    </row>
    <row r="8140" spans="1:19" x14ac:dyDescent="0.25">
      <c r="A8140" s="1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  <c r="P8140"/>
      <c r="Q8140"/>
      <c r="R8140"/>
      <c r="S8140"/>
    </row>
    <row r="8141" spans="1:19" x14ac:dyDescent="0.25">
      <c r="A8141" s="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  <c r="P8141"/>
      <c r="Q8141"/>
      <c r="R8141"/>
      <c r="S8141"/>
    </row>
    <row r="8142" spans="1:19" x14ac:dyDescent="0.25">
      <c r="A8142" s="1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  <c r="P8142"/>
      <c r="Q8142"/>
      <c r="R8142"/>
      <c r="S8142"/>
    </row>
    <row r="8143" spans="1:19" x14ac:dyDescent="0.25">
      <c r="A8143" s="1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  <c r="P8143"/>
      <c r="Q8143"/>
      <c r="R8143"/>
      <c r="S8143"/>
    </row>
    <row r="8144" spans="1:19" x14ac:dyDescent="0.25">
      <c r="A8144" s="1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  <c r="P8144"/>
      <c r="Q8144"/>
      <c r="R8144"/>
      <c r="S8144"/>
    </row>
    <row r="8145" spans="1:19" x14ac:dyDescent="0.25">
      <c r="A8145" s="1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  <c r="P8145"/>
      <c r="Q8145"/>
      <c r="R8145"/>
      <c r="S8145"/>
    </row>
    <row r="8146" spans="1:19" x14ac:dyDescent="0.25">
      <c r="A8146" s="1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  <c r="P8146"/>
      <c r="Q8146"/>
      <c r="R8146"/>
      <c r="S8146"/>
    </row>
    <row r="8147" spans="1:19" x14ac:dyDescent="0.25">
      <c r="A8147" s="1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  <c r="P8147"/>
      <c r="Q8147"/>
      <c r="R8147"/>
      <c r="S8147"/>
    </row>
    <row r="8148" spans="1:19" x14ac:dyDescent="0.25">
      <c r="A8148" s="1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  <c r="P8148"/>
      <c r="Q8148"/>
      <c r="R8148"/>
      <c r="S8148"/>
    </row>
    <row r="8149" spans="1:19" x14ac:dyDescent="0.25">
      <c r="A8149" s="1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  <c r="P8149"/>
      <c r="Q8149"/>
      <c r="R8149"/>
      <c r="S8149"/>
    </row>
    <row r="8150" spans="1:19" x14ac:dyDescent="0.25">
      <c r="A8150" s="1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  <c r="P8150"/>
      <c r="Q8150"/>
      <c r="R8150"/>
      <c r="S8150"/>
    </row>
    <row r="8151" spans="1:19" x14ac:dyDescent="0.25">
      <c r="A8151" s="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  <c r="P8151"/>
      <c r="Q8151"/>
      <c r="R8151"/>
      <c r="S8151"/>
    </row>
    <row r="8152" spans="1:19" x14ac:dyDescent="0.25">
      <c r="A8152" s="1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  <c r="P8152"/>
      <c r="Q8152"/>
      <c r="R8152"/>
      <c r="S8152"/>
    </row>
    <row r="8153" spans="1:19" x14ac:dyDescent="0.25">
      <c r="A8153" s="1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  <c r="P8153"/>
      <c r="Q8153"/>
      <c r="R8153"/>
      <c r="S8153"/>
    </row>
    <row r="8154" spans="1:19" x14ac:dyDescent="0.25">
      <c r="A8154" s="1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  <c r="P8154"/>
      <c r="Q8154"/>
      <c r="R8154"/>
      <c r="S8154"/>
    </row>
    <row r="8155" spans="1:19" x14ac:dyDescent="0.25">
      <c r="A8155" s="1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  <c r="P8155"/>
      <c r="Q8155"/>
      <c r="R8155"/>
      <c r="S8155"/>
    </row>
    <row r="8156" spans="1:19" x14ac:dyDescent="0.25">
      <c r="A8156" s="1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  <c r="P8156"/>
      <c r="Q8156"/>
      <c r="R8156"/>
      <c r="S8156"/>
    </row>
    <row r="8157" spans="1:19" x14ac:dyDescent="0.25">
      <c r="A8157" s="1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  <c r="P8157"/>
      <c r="Q8157"/>
      <c r="R8157"/>
      <c r="S8157"/>
    </row>
    <row r="8158" spans="1:19" x14ac:dyDescent="0.25">
      <c r="A8158" s="1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  <c r="P8158"/>
      <c r="Q8158"/>
      <c r="R8158"/>
      <c r="S8158"/>
    </row>
    <row r="8159" spans="1:19" x14ac:dyDescent="0.25">
      <c r="A8159" s="1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  <c r="P8159"/>
      <c r="Q8159"/>
      <c r="R8159"/>
      <c r="S8159"/>
    </row>
    <row r="8160" spans="1:19" x14ac:dyDescent="0.25">
      <c r="A8160" s="1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  <c r="P8160"/>
      <c r="Q8160"/>
      <c r="R8160"/>
      <c r="S8160"/>
    </row>
    <row r="8161" spans="1:19" x14ac:dyDescent="0.25">
      <c r="A8161" s="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  <c r="P8161"/>
      <c r="Q8161"/>
      <c r="R8161"/>
      <c r="S8161"/>
    </row>
    <row r="8162" spans="1:19" x14ac:dyDescent="0.25">
      <c r="A8162" s="1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  <c r="P8162"/>
      <c r="Q8162"/>
      <c r="R8162"/>
      <c r="S8162"/>
    </row>
    <row r="8163" spans="1:19" x14ac:dyDescent="0.25">
      <c r="A8163" s="1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  <c r="P8163"/>
      <c r="Q8163"/>
      <c r="R8163"/>
      <c r="S8163"/>
    </row>
    <row r="8164" spans="1:19" x14ac:dyDescent="0.25">
      <c r="A8164" s="1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  <c r="P8164"/>
      <c r="Q8164"/>
      <c r="R8164"/>
      <c r="S8164"/>
    </row>
    <row r="8165" spans="1:19" x14ac:dyDescent="0.25">
      <c r="A8165" s="1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  <c r="P8165"/>
      <c r="Q8165"/>
      <c r="R8165"/>
      <c r="S8165"/>
    </row>
    <row r="8166" spans="1:19" x14ac:dyDescent="0.25">
      <c r="A8166" s="1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  <c r="P8166"/>
      <c r="Q8166"/>
      <c r="R8166"/>
      <c r="S8166"/>
    </row>
    <row r="8167" spans="1:19" x14ac:dyDescent="0.25">
      <c r="A8167" s="1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  <c r="P8167"/>
      <c r="Q8167"/>
      <c r="R8167"/>
      <c r="S8167"/>
    </row>
    <row r="8168" spans="1:19" x14ac:dyDescent="0.25">
      <c r="A8168" s="1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  <c r="P8168"/>
      <c r="Q8168"/>
      <c r="R8168"/>
      <c r="S8168"/>
    </row>
    <row r="8169" spans="1:19" x14ac:dyDescent="0.25">
      <c r="A8169" s="1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  <c r="P8169"/>
      <c r="Q8169"/>
      <c r="R8169"/>
      <c r="S8169"/>
    </row>
    <row r="8170" spans="1:19" x14ac:dyDescent="0.25">
      <c r="A8170" s="1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  <c r="P8170"/>
      <c r="Q8170"/>
      <c r="R8170"/>
      <c r="S8170"/>
    </row>
    <row r="8171" spans="1:19" x14ac:dyDescent="0.25">
      <c r="A8171" s="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  <c r="P8171"/>
      <c r="Q8171"/>
      <c r="R8171"/>
      <c r="S8171"/>
    </row>
    <row r="8172" spans="1:19" x14ac:dyDescent="0.25">
      <c r="A8172" s="1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  <c r="P8172"/>
      <c r="Q8172"/>
      <c r="R8172"/>
      <c r="S8172"/>
    </row>
    <row r="8173" spans="1:19" x14ac:dyDescent="0.25">
      <c r="A8173" s="1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  <c r="P8173"/>
      <c r="Q8173"/>
      <c r="R8173"/>
      <c r="S8173"/>
    </row>
    <row r="8174" spans="1:19" x14ac:dyDescent="0.25">
      <c r="A8174" s="1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  <c r="P8174"/>
      <c r="Q8174"/>
      <c r="R8174"/>
      <c r="S8174"/>
    </row>
    <row r="8175" spans="1:19" x14ac:dyDescent="0.25">
      <c r="A8175" s="1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  <c r="P8175"/>
      <c r="Q8175"/>
      <c r="R8175"/>
      <c r="S8175"/>
    </row>
    <row r="8176" spans="1:19" x14ac:dyDescent="0.25">
      <c r="A8176" s="1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  <c r="P8176"/>
      <c r="Q8176"/>
      <c r="R8176"/>
      <c r="S8176"/>
    </row>
    <row r="8177" spans="1:19" x14ac:dyDescent="0.25">
      <c r="A8177" s="1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  <c r="P8177"/>
      <c r="Q8177"/>
      <c r="R8177"/>
      <c r="S8177"/>
    </row>
    <row r="8178" spans="1:19" x14ac:dyDescent="0.25">
      <c r="A8178" s="1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  <c r="P8178"/>
      <c r="Q8178"/>
      <c r="R8178"/>
      <c r="S8178"/>
    </row>
    <row r="8179" spans="1:19" x14ac:dyDescent="0.25">
      <c r="A8179" s="1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  <c r="P8179"/>
      <c r="Q8179"/>
      <c r="R8179"/>
      <c r="S8179"/>
    </row>
    <row r="8180" spans="1:19" x14ac:dyDescent="0.25">
      <c r="A8180" s="1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  <c r="P8180"/>
      <c r="Q8180"/>
      <c r="R8180"/>
      <c r="S8180"/>
    </row>
    <row r="8181" spans="1:19" x14ac:dyDescent="0.25">
      <c r="A8181" s="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  <c r="P8181"/>
      <c r="Q8181"/>
      <c r="R8181"/>
      <c r="S8181"/>
    </row>
    <row r="8182" spans="1:19" x14ac:dyDescent="0.25">
      <c r="A8182" s="1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  <c r="P8182"/>
      <c r="Q8182"/>
      <c r="R8182"/>
      <c r="S8182"/>
    </row>
    <row r="8183" spans="1:19" x14ac:dyDescent="0.25">
      <c r="A8183" s="1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  <c r="P8183"/>
      <c r="Q8183"/>
      <c r="R8183"/>
      <c r="S8183"/>
    </row>
    <row r="8184" spans="1:19" x14ac:dyDescent="0.25">
      <c r="A8184" s="1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  <c r="P8184"/>
      <c r="Q8184"/>
      <c r="R8184"/>
      <c r="S8184"/>
    </row>
    <row r="8185" spans="1:19" x14ac:dyDescent="0.25">
      <c r="A8185" s="1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  <c r="P8185"/>
      <c r="Q8185"/>
      <c r="R8185"/>
      <c r="S8185"/>
    </row>
    <row r="8186" spans="1:19" x14ac:dyDescent="0.25">
      <c r="A8186" s="1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  <c r="P8186"/>
      <c r="Q8186"/>
      <c r="R8186"/>
      <c r="S8186"/>
    </row>
    <row r="8187" spans="1:19" x14ac:dyDescent="0.25">
      <c r="A8187" s="1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  <c r="P8187"/>
      <c r="Q8187"/>
      <c r="R8187"/>
      <c r="S8187"/>
    </row>
    <row r="8188" spans="1:19" x14ac:dyDescent="0.25">
      <c r="A8188" s="1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  <c r="P8188"/>
      <c r="Q8188"/>
      <c r="R8188"/>
      <c r="S8188"/>
    </row>
    <row r="8189" spans="1:19" x14ac:dyDescent="0.25">
      <c r="A8189" s="1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  <c r="P8189"/>
      <c r="Q8189"/>
      <c r="R8189"/>
      <c r="S8189"/>
    </row>
    <row r="8190" spans="1:19" x14ac:dyDescent="0.25">
      <c r="A8190" s="1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  <c r="P8190"/>
      <c r="Q8190"/>
      <c r="R8190"/>
      <c r="S8190"/>
    </row>
    <row r="8191" spans="1:19" x14ac:dyDescent="0.25">
      <c r="A8191" s="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  <c r="P8191"/>
      <c r="Q8191"/>
      <c r="R8191"/>
      <c r="S8191"/>
    </row>
    <row r="8192" spans="1:19" x14ac:dyDescent="0.25">
      <c r="A8192" s="1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  <c r="P8192"/>
      <c r="Q8192"/>
      <c r="R8192"/>
      <c r="S8192"/>
    </row>
    <row r="8193" spans="1:19" x14ac:dyDescent="0.25">
      <c r="A8193" s="1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  <c r="P8193"/>
      <c r="Q8193"/>
      <c r="R8193"/>
      <c r="S8193"/>
    </row>
    <row r="8194" spans="1:19" x14ac:dyDescent="0.25">
      <c r="A8194" s="1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  <c r="P8194"/>
      <c r="Q8194"/>
      <c r="R8194"/>
      <c r="S8194"/>
    </row>
    <row r="8195" spans="1:19" x14ac:dyDescent="0.25">
      <c r="A8195" s="1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  <c r="P8195"/>
      <c r="Q8195"/>
      <c r="R8195"/>
      <c r="S8195"/>
    </row>
    <row r="8196" spans="1:19" x14ac:dyDescent="0.25">
      <c r="A8196" s="1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  <c r="P8196"/>
      <c r="Q8196"/>
      <c r="R8196"/>
      <c r="S8196"/>
    </row>
    <row r="8197" spans="1:19" x14ac:dyDescent="0.25">
      <c r="A8197" s="1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  <c r="P8197"/>
      <c r="Q8197"/>
      <c r="R8197"/>
      <c r="S8197"/>
    </row>
    <row r="8198" spans="1:19" x14ac:dyDescent="0.25">
      <c r="A8198" s="1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  <c r="P8198"/>
      <c r="Q8198"/>
      <c r="R8198"/>
      <c r="S8198"/>
    </row>
    <row r="8199" spans="1:19" x14ac:dyDescent="0.25">
      <c r="A8199" s="1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  <c r="P8199"/>
      <c r="Q8199"/>
      <c r="R8199"/>
      <c r="S8199"/>
    </row>
    <row r="8200" spans="1:19" x14ac:dyDescent="0.25">
      <c r="A8200" s="1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  <c r="P8200"/>
      <c r="Q8200"/>
      <c r="R8200"/>
      <c r="S8200"/>
    </row>
    <row r="8201" spans="1:19" x14ac:dyDescent="0.25">
      <c r="A8201" s="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  <c r="P8201"/>
      <c r="Q8201"/>
      <c r="R8201"/>
      <c r="S8201"/>
    </row>
    <row r="8202" spans="1:19" x14ac:dyDescent="0.25">
      <c r="A8202" s="1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  <c r="P8202"/>
      <c r="Q8202"/>
      <c r="R8202"/>
      <c r="S8202"/>
    </row>
    <row r="8203" spans="1:19" x14ac:dyDescent="0.25">
      <c r="A8203" s="1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  <c r="P8203"/>
      <c r="Q8203"/>
      <c r="R8203"/>
      <c r="S8203"/>
    </row>
    <row r="8204" spans="1:19" x14ac:dyDescent="0.25">
      <c r="A8204" s="1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  <c r="P8204"/>
      <c r="Q8204"/>
      <c r="R8204"/>
      <c r="S8204"/>
    </row>
    <row r="8205" spans="1:19" x14ac:dyDescent="0.25">
      <c r="A8205" s="1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  <c r="P8205"/>
      <c r="Q8205"/>
      <c r="R8205"/>
      <c r="S8205"/>
    </row>
    <row r="8206" spans="1:19" x14ac:dyDescent="0.25">
      <c r="A8206" s="1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  <c r="P8206"/>
      <c r="Q8206"/>
      <c r="R8206"/>
      <c r="S8206"/>
    </row>
    <row r="8207" spans="1:19" x14ac:dyDescent="0.25">
      <c r="A8207" s="1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  <c r="P8207"/>
      <c r="Q8207"/>
      <c r="R8207"/>
      <c r="S8207"/>
    </row>
    <row r="8208" spans="1:19" x14ac:dyDescent="0.25">
      <c r="A8208" s="1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  <c r="P8208"/>
      <c r="Q8208"/>
      <c r="R8208"/>
      <c r="S8208"/>
    </row>
    <row r="8209" spans="1:19" x14ac:dyDescent="0.25">
      <c r="A8209" s="1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  <c r="P8209"/>
      <c r="Q8209"/>
      <c r="R8209"/>
      <c r="S8209"/>
    </row>
    <row r="8210" spans="1:19" x14ac:dyDescent="0.25">
      <c r="A8210" s="1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  <c r="P8210"/>
      <c r="Q8210"/>
      <c r="R8210"/>
      <c r="S8210"/>
    </row>
    <row r="8211" spans="1:19" x14ac:dyDescent="0.25">
      <c r="A8211" s="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  <c r="P8211"/>
      <c r="Q8211"/>
      <c r="R8211"/>
      <c r="S8211"/>
    </row>
    <row r="8212" spans="1:19" x14ac:dyDescent="0.25">
      <c r="A8212" s="1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  <c r="P8212"/>
      <c r="Q8212"/>
      <c r="R8212"/>
      <c r="S8212"/>
    </row>
    <row r="8213" spans="1:19" x14ac:dyDescent="0.25">
      <c r="A8213" s="1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  <c r="P8213"/>
      <c r="Q8213"/>
      <c r="R8213"/>
      <c r="S8213"/>
    </row>
    <row r="8214" spans="1:19" x14ac:dyDescent="0.25">
      <c r="A8214" s="1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  <c r="P8214"/>
      <c r="Q8214"/>
      <c r="R8214"/>
      <c r="S8214"/>
    </row>
    <row r="8215" spans="1:19" x14ac:dyDescent="0.25">
      <c r="A8215" s="1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  <c r="P8215"/>
      <c r="Q8215"/>
      <c r="R8215"/>
      <c r="S8215"/>
    </row>
    <row r="8216" spans="1:19" x14ac:dyDescent="0.25">
      <c r="A8216" s="1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  <c r="P8216"/>
      <c r="Q8216"/>
      <c r="R8216"/>
      <c r="S8216"/>
    </row>
    <row r="8217" spans="1:19" x14ac:dyDescent="0.25">
      <c r="A8217" s="1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  <c r="P8217"/>
      <c r="Q8217"/>
      <c r="R8217"/>
      <c r="S8217"/>
    </row>
    <row r="8218" spans="1:19" x14ac:dyDescent="0.25">
      <c r="A8218" s="1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  <c r="P8218"/>
      <c r="Q8218"/>
      <c r="R8218"/>
      <c r="S8218"/>
    </row>
    <row r="8219" spans="1:19" x14ac:dyDescent="0.25">
      <c r="A8219" s="1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  <c r="P8219"/>
      <c r="Q8219"/>
      <c r="R8219"/>
      <c r="S8219"/>
    </row>
    <row r="8220" spans="1:19" x14ac:dyDescent="0.25">
      <c r="A8220" s="1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  <c r="P8220"/>
      <c r="Q8220"/>
      <c r="R8220"/>
      <c r="S8220"/>
    </row>
    <row r="8221" spans="1:19" x14ac:dyDescent="0.25">
      <c r="A8221" s="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  <c r="P8221"/>
      <c r="Q8221"/>
      <c r="R8221"/>
      <c r="S8221"/>
    </row>
    <row r="8222" spans="1:19" x14ac:dyDescent="0.25">
      <c r="A8222" s="1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  <c r="P8222"/>
      <c r="Q8222"/>
      <c r="R8222"/>
      <c r="S8222"/>
    </row>
    <row r="8223" spans="1:19" x14ac:dyDescent="0.25">
      <c r="A8223" s="1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  <c r="P8223"/>
      <c r="Q8223"/>
      <c r="R8223"/>
      <c r="S8223"/>
    </row>
    <row r="8224" spans="1:19" x14ac:dyDescent="0.25">
      <c r="A8224" s="1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  <c r="P8224"/>
      <c r="Q8224"/>
      <c r="R8224"/>
      <c r="S8224"/>
    </row>
    <row r="8225" spans="1:19" x14ac:dyDescent="0.25">
      <c r="A8225" s="1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  <c r="P8225"/>
      <c r="Q8225"/>
      <c r="R8225"/>
      <c r="S8225"/>
    </row>
    <row r="8226" spans="1:19" x14ac:dyDescent="0.25">
      <c r="A8226" s="1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  <c r="P8226"/>
      <c r="Q8226"/>
      <c r="R8226"/>
      <c r="S8226"/>
    </row>
    <row r="8227" spans="1:19" x14ac:dyDescent="0.25">
      <c r="A8227" s="1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  <c r="P8227"/>
      <c r="Q8227"/>
      <c r="R8227"/>
      <c r="S8227"/>
    </row>
    <row r="8228" spans="1:19" x14ac:dyDescent="0.25">
      <c r="A8228" s="1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  <c r="P8228"/>
      <c r="Q8228"/>
      <c r="R8228"/>
      <c r="S8228"/>
    </row>
    <row r="8229" spans="1:19" x14ac:dyDescent="0.25">
      <c r="A8229" s="1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  <c r="P8229"/>
      <c r="Q8229"/>
      <c r="R8229"/>
      <c r="S8229"/>
    </row>
    <row r="8230" spans="1:19" x14ac:dyDescent="0.25">
      <c r="A8230" s="1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  <c r="P8230"/>
      <c r="Q8230"/>
      <c r="R8230"/>
      <c r="S8230"/>
    </row>
    <row r="8231" spans="1:19" x14ac:dyDescent="0.25">
      <c r="A8231" s="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  <c r="P8231"/>
      <c r="Q8231"/>
      <c r="R8231"/>
      <c r="S8231"/>
    </row>
    <row r="8232" spans="1:19" x14ac:dyDescent="0.25">
      <c r="A8232" s="1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  <c r="P8232"/>
      <c r="Q8232"/>
      <c r="R8232"/>
      <c r="S8232"/>
    </row>
    <row r="8233" spans="1:19" x14ac:dyDescent="0.25">
      <c r="A8233" s="1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  <c r="P8233"/>
      <c r="Q8233"/>
      <c r="R8233"/>
      <c r="S8233"/>
    </row>
    <row r="8234" spans="1:19" x14ac:dyDescent="0.25">
      <c r="A8234" s="1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  <c r="P8234"/>
      <c r="Q8234"/>
      <c r="R8234"/>
      <c r="S8234"/>
    </row>
    <row r="8235" spans="1:19" x14ac:dyDescent="0.25">
      <c r="A8235" s="1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  <c r="P8235"/>
      <c r="Q8235"/>
      <c r="R8235"/>
      <c r="S8235"/>
    </row>
    <row r="8236" spans="1:19" x14ac:dyDescent="0.25">
      <c r="A8236" s="1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  <c r="P8236"/>
      <c r="Q8236"/>
      <c r="R8236"/>
      <c r="S8236"/>
    </row>
    <row r="8237" spans="1:19" x14ac:dyDescent="0.25">
      <c r="A8237" s="1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  <c r="P8237"/>
      <c r="Q8237"/>
      <c r="R8237"/>
      <c r="S8237"/>
    </row>
    <row r="8238" spans="1:19" x14ac:dyDescent="0.25">
      <c r="A8238" s="1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  <c r="P8238"/>
      <c r="Q8238"/>
      <c r="R8238"/>
      <c r="S8238"/>
    </row>
    <row r="8239" spans="1:19" x14ac:dyDescent="0.25">
      <c r="A8239" s="1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  <c r="P8239"/>
      <c r="Q8239"/>
      <c r="R8239"/>
      <c r="S8239"/>
    </row>
    <row r="8240" spans="1:19" x14ac:dyDescent="0.25">
      <c r="A8240" s="1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  <c r="P8240"/>
      <c r="Q8240"/>
      <c r="R8240"/>
      <c r="S8240"/>
    </row>
    <row r="8241" spans="1:19" x14ac:dyDescent="0.25">
      <c r="A8241" s="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  <c r="P8241"/>
      <c r="Q8241"/>
      <c r="R8241"/>
      <c r="S8241"/>
    </row>
    <row r="8242" spans="1:19" x14ac:dyDescent="0.25">
      <c r="A8242" s="1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  <c r="P8242"/>
      <c r="Q8242"/>
      <c r="R8242"/>
      <c r="S8242"/>
    </row>
    <row r="8243" spans="1:19" x14ac:dyDescent="0.25">
      <c r="A8243" s="1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  <c r="P8243"/>
      <c r="Q8243"/>
      <c r="R8243"/>
      <c r="S8243"/>
    </row>
    <row r="8244" spans="1:19" x14ac:dyDescent="0.25">
      <c r="A8244" s="1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  <c r="P8244"/>
      <c r="Q8244"/>
      <c r="R8244"/>
      <c r="S8244"/>
    </row>
    <row r="8245" spans="1:19" x14ac:dyDescent="0.25">
      <c r="A8245" s="1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  <c r="P8245"/>
      <c r="Q8245"/>
      <c r="R8245"/>
      <c r="S8245"/>
    </row>
    <row r="8246" spans="1:19" x14ac:dyDescent="0.25">
      <c r="A8246" s="1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  <c r="P8246"/>
      <c r="Q8246"/>
      <c r="R8246"/>
      <c r="S8246"/>
    </row>
    <row r="8247" spans="1:19" x14ac:dyDescent="0.25">
      <c r="A8247" s="1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  <c r="P8247"/>
      <c r="Q8247"/>
      <c r="R8247"/>
      <c r="S8247"/>
    </row>
    <row r="8248" spans="1:19" x14ac:dyDescent="0.25">
      <c r="A8248" s="1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  <c r="P8248"/>
      <c r="Q8248"/>
      <c r="R8248"/>
      <c r="S8248"/>
    </row>
    <row r="8249" spans="1:19" x14ac:dyDescent="0.25">
      <c r="A8249" s="1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  <c r="P8249"/>
      <c r="Q8249"/>
      <c r="R8249"/>
      <c r="S8249"/>
    </row>
    <row r="8250" spans="1:19" x14ac:dyDescent="0.25">
      <c r="A8250" s="1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  <c r="P8250"/>
      <c r="Q8250"/>
      <c r="R8250"/>
      <c r="S8250"/>
    </row>
    <row r="8251" spans="1:19" x14ac:dyDescent="0.25">
      <c r="A8251" s="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  <c r="P8251"/>
      <c r="Q8251"/>
      <c r="R8251"/>
      <c r="S8251"/>
    </row>
    <row r="8252" spans="1:19" x14ac:dyDescent="0.25">
      <c r="A8252" s="1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  <c r="P8252"/>
      <c r="Q8252"/>
      <c r="R8252"/>
      <c r="S8252"/>
    </row>
    <row r="8253" spans="1:19" x14ac:dyDescent="0.25">
      <c r="A8253" s="1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  <c r="P8253"/>
      <c r="Q8253"/>
      <c r="R8253"/>
      <c r="S8253"/>
    </row>
    <row r="8254" spans="1:19" x14ac:dyDescent="0.25">
      <c r="A8254" s="1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  <c r="P8254"/>
      <c r="Q8254"/>
      <c r="R8254"/>
      <c r="S8254"/>
    </row>
    <row r="8255" spans="1:19" x14ac:dyDescent="0.25">
      <c r="A8255" s="1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  <c r="P8255"/>
      <c r="Q8255"/>
      <c r="R8255"/>
      <c r="S8255"/>
    </row>
    <row r="8256" spans="1:19" x14ac:dyDescent="0.25">
      <c r="A8256" s="1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  <c r="P8256"/>
      <c r="Q8256"/>
      <c r="R8256"/>
      <c r="S8256"/>
    </row>
    <row r="8257" spans="1:19" x14ac:dyDescent="0.25">
      <c r="A8257" s="1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  <c r="P8257"/>
      <c r="Q8257"/>
      <c r="R8257"/>
      <c r="S8257"/>
    </row>
    <row r="8258" spans="1:19" x14ac:dyDescent="0.25">
      <c r="A8258" s="1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  <c r="P8258"/>
      <c r="Q8258"/>
      <c r="R8258"/>
      <c r="S8258"/>
    </row>
    <row r="8259" spans="1:19" x14ac:dyDescent="0.25">
      <c r="A8259" s="1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  <c r="P8259"/>
      <c r="Q8259"/>
      <c r="R8259"/>
      <c r="S8259"/>
    </row>
    <row r="8260" spans="1:19" x14ac:dyDescent="0.25">
      <c r="A8260" s="1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  <c r="P8260"/>
      <c r="Q8260"/>
      <c r="R8260"/>
      <c r="S8260"/>
    </row>
    <row r="8261" spans="1:19" x14ac:dyDescent="0.25">
      <c r="A8261" s="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  <c r="P8261"/>
      <c r="Q8261"/>
      <c r="R8261"/>
      <c r="S8261"/>
    </row>
    <row r="8262" spans="1:19" x14ac:dyDescent="0.25">
      <c r="A8262" s="1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  <c r="P8262"/>
      <c r="Q8262"/>
      <c r="R8262"/>
      <c r="S8262"/>
    </row>
    <row r="8263" spans="1:19" x14ac:dyDescent="0.25">
      <c r="A8263" s="1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  <c r="P8263"/>
      <c r="Q8263"/>
      <c r="R8263"/>
      <c r="S8263"/>
    </row>
    <row r="8264" spans="1:19" x14ac:dyDescent="0.25">
      <c r="A8264" s="1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  <c r="P8264"/>
      <c r="Q8264"/>
      <c r="R8264"/>
      <c r="S8264"/>
    </row>
    <row r="8265" spans="1:19" x14ac:dyDescent="0.25">
      <c r="A8265" s="1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  <c r="P8265"/>
      <c r="Q8265"/>
      <c r="R8265"/>
      <c r="S8265"/>
    </row>
    <row r="8266" spans="1:19" x14ac:dyDescent="0.25">
      <c r="A8266" s="1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  <c r="P8266"/>
      <c r="Q8266"/>
      <c r="R8266"/>
      <c r="S8266"/>
    </row>
    <row r="8267" spans="1:19" x14ac:dyDescent="0.25">
      <c r="A8267" s="1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  <c r="P8267"/>
      <c r="Q8267"/>
      <c r="R8267"/>
      <c r="S8267"/>
    </row>
    <row r="8268" spans="1:19" x14ac:dyDescent="0.25">
      <c r="A8268" s="1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  <c r="P8268"/>
      <c r="Q8268"/>
      <c r="R8268"/>
      <c r="S8268"/>
    </row>
    <row r="8269" spans="1:19" x14ac:dyDescent="0.25">
      <c r="A8269" s="1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  <c r="P8269"/>
      <c r="Q8269"/>
      <c r="R8269"/>
      <c r="S8269"/>
    </row>
    <row r="8270" spans="1:19" x14ac:dyDescent="0.25">
      <c r="A8270" s="1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  <c r="P8270"/>
      <c r="Q8270"/>
      <c r="R8270"/>
      <c r="S8270"/>
    </row>
    <row r="8271" spans="1:19" x14ac:dyDescent="0.25">
      <c r="A8271" s="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  <c r="P8271"/>
      <c r="Q8271"/>
      <c r="R8271"/>
      <c r="S8271"/>
    </row>
    <row r="8272" spans="1:19" x14ac:dyDescent="0.25">
      <c r="A8272" s="1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  <c r="P8272"/>
      <c r="Q8272"/>
      <c r="R8272"/>
      <c r="S8272"/>
    </row>
    <row r="8273" spans="1:19" x14ac:dyDescent="0.25">
      <c r="A8273" s="1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  <c r="P8273"/>
      <c r="Q8273"/>
      <c r="R8273"/>
      <c r="S8273"/>
    </row>
    <row r="8274" spans="1:19" x14ac:dyDescent="0.25">
      <c r="A8274" s="1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  <c r="P8274"/>
      <c r="Q8274"/>
      <c r="R8274"/>
      <c r="S8274"/>
    </row>
    <row r="8275" spans="1:19" x14ac:dyDescent="0.25">
      <c r="A8275" s="1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  <c r="P8275"/>
      <c r="Q8275"/>
      <c r="R8275"/>
      <c r="S8275"/>
    </row>
    <row r="8276" spans="1:19" x14ac:dyDescent="0.25">
      <c r="A8276" s="1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  <c r="P8276"/>
      <c r="Q8276"/>
      <c r="R8276"/>
      <c r="S8276"/>
    </row>
    <row r="8277" spans="1:19" x14ac:dyDescent="0.25">
      <c r="A8277" s="1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  <c r="P8277"/>
      <c r="Q8277"/>
      <c r="R8277"/>
      <c r="S8277"/>
    </row>
    <row r="8278" spans="1:19" x14ac:dyDescent="0.25">
      <c r="A8278" s="1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  <c r="P8278"/>
      <c r="Q8278"/>
      <c r="R8278"/>
      <c r="S8278"/>
    </row>
    <row r="8279" spans="1:19" x14ac:dyDescent="0.25">
      <c r="A8279" s="1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  <c r="P8279"/>
      <c r="Q8279"/>
      <c r="R8279"/>
      <c r="S8279"/>
    </row>
    <row r="8280" spans="1:19" x14ac:dyDescent="0.25">
      <c r="A8280" s="1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  <c r="P8280"/>
      <c r="Q8280"/>
      <c r="R8280"/>
      <c r="S8280"/>
    </row>
    <row r="8281" spans="1:19" x14ac:dyDescent="0.25">
      <c r="A8281" s="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  <c r="P8281"/>
      <c r="Q8281"/>
      <c r="R8281"/>
      <c r="S8281"/>
    </row>
    <row r="8282" spans="1:19" x14ac:dyDescent="0.25">
      <c r="A8282" s="1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  <c r="P8282"/>
      <c r="Q8282"/>
      <c r="R8282"/>
      <c r="S8282"/>
    </row>
    <row r="8283" spans="1:19" x14ac:dyDescent="0.25">
      <c r="A8283" s="1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  <c r="P8283"/>
      <c r="Q8283"/>
      <c r="R8283"/>
      <c r="S8283"/>
    </row>
    <row r="8284" spans="1:19" x14ac:dyDescent="0.25">
      <c r="A8284" s="1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  <c r="P8284"/>
      <c r="Q8284"/>
      <c r="R8284"/>
      <c r="S8284"/>
    </row>
    <row r="8285" spans="1:19" x14ac:dyDescent="0.25">
      <c r="A8285" s="1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  <c r="P8285"/>
      <c r="Q8285"/>
      <c r="R8285"/>
      <c r="S8285"/>
    </row>
    <row r="8286" spans="1:19" x14ac:dyDescent="0.25">
      <c r="A8286" s="1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  <c r="P8286"/>
      <c r="Q8286"/>
      <c r="R8286"/>
      <c r="S8286"/>
    </row>
    <row r="8287" spans="1:19" x14ac:dyDescent="0.25">
      <c r="A8287" s="1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  <c r="P8287"/>
      <c r="Q8287"/>
      <c r="R8287"/>
      <c r="S8287"/>
    </row>
    <row r="8288" spans="1:19" x14ac:dyDescent="0.25">
      <c r="A8288" s="1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  <c r="P8288"/>
      <c r="Q8288"/>
      <c r="R8288"/>
      <c r="S8288"/>
    </row>
    <row r="8289" spans="1:19" x14ac:dyDescent="0.25">
      <c r="A8289" s="1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  <c r="P8289"/>
      <c r="Q8289"/>
      <c r="R8289"/>
      <c r="S8289"/>
    </row>
    <row r="8290" spans="1:19" x14ac:dyDescent="0.25">
      <c r="A8290" s="1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  <c r="P8290"/>
      <c r="Q8290"/>
      <c r="R8290"/>
      <c r="S8290"/>
    </row>
    <row r="8291" spans="1:19" x14ac:dyDescent="0.25">
      <c r="A8291" s="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  <c r="P8291"/>
      <c r="Q8291"/>
      <c r="R8291"/>
      <c r="S8291"/>
    </row>
    <row r="8292" spans="1:19" x14ac:dyDescent="0.25">
      <c r="A8292" s="1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  <c r="P8292"/>
      <c r="Q8292"/>
      <c r="R8292"/>
      <c r="S8292"/>
    </row>
    <row r="8293" spans="1:19" x14ac:dyDescent="0.25">
      <c r="A8293" s="1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  <c r="P8293"/>
      <c r="Q8293"/>
      <c r="R8293"/>
      <c r="S8293"/>
    </row>
    <row r="8294" spans="1:19" x14ac:dyDescent="0.25">
      <c r="A8294" s="1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  <c r="P8294"/>
      <c r="Q8294"/>
      <c r="R8294"/>
      <c r="S8294"/>
    </row>
    <row r="8295" spans="1:19" x14ac:dyDescent="0.25">
      <c r="A8295" s="1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  <c r="P8295"/>
      <c r="Q8295"/>
      <c r="R8295"/>
      <c r="S8295"/>
    </row>
    <row r="8296" spans="1:19" x14ac:dyDescent="0.25">
      <c r="A8296" s="1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  <c r="P8296"/>
      <c r="Q8296"/>
      <c r="R8296"/>
      <c r="S8296"/>
    </row>
    <row r="8297" spans="1:19" x14ac:dyDescent="0.25">
      <c r="A8297" s="1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  <c r="P8297"/>
      <c r="Q8297"/>
      <c r="R8297"/>
      <c r="S8297"/>
    </row>
    <row r="8298" spans="1:19" x14ac:dyDescent="0.25">
      <c r="A8298" s="1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  <c r="P8298"/>
      <c r="Q8298"/>
      <c r="R8298"/>
      <c r="S8298"/>
    </row>
    <row r="8299" spans="1:19" x14ac:dyDescent="0.25">
      <c r="A8299" s="1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  <c r="P8299"/>
      <c r="Q8299"/>
      <c r="R8299"/>
      <c r="S8299"/>
    </row>
    <row r="8300" spans="1:19" x14ac:dyDescent="0.25">
      <c r="A8300" s="1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  <c r="P8300"/>
      <c r="Q8300"/>
      <c r="R8300"/>
      <c r="S8300"/>
    </row>
    <row r="8301" spans="1:19" x14ac:dyDescent="0.25">
      <c r="A8301" s="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  <c r="P8301"/>
      <c r="Q8301"/>
      <c r="R8301"/>
      <c r="S8301"/>
    </row>
    <row r="8302" spans="1:19" x14ac:dyDescent="0.25">
      <c r="A8302" s="1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  <c r="P8302"/>
      <c r="Q8302"/>
      <c r="R8302"/>
      <c r="S8302"/>
    </row>
    <row r="8303" spans="1:19" x14ac:dyDescent="0.25">
      <c r="A8303" s="1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  <c r="P8303"/>
      <c r="Q8303"/>
      <c r="R8303"/>
      <c r="S8303"/>
    </row>
    <row r="8304" spans="1:19" x14ac:dyDescent="0.25">
      <c r="A8304" s="1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  <c r="P8304"/>
      <c r="Q8304"/>
      <c r="R8304"/>
      <c r="S8304"/>
    </row>
    <row r="8305" spans="1:19" x14ac:dyDescent="0.25">
      <c r="A8305" s="1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  <c r="P8305"/>
      <c r="Q8305"/>
      <c r="R8305"/>
      <c r="S8305"/>
    </row>
    <row r="8306" spans="1:19" x14ac:dyDescent="0.25">
      <c r="A8306" s="1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  <c r="P8306"/>
      <c r="Q8306"/>
      <c r="R8306"/>
      <c r="S8306"/>
    </row>
    <row r="8307" spans="1:19" x14ac:dyDescent="0.25">
      <c r="A8307" s="1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  <c r="P8307"/>
      <c r="Q8307"/>
      <c r="R8307"/>
      <c r="S8307"/>
    </row>
    <row r="8308" spans="1:19" x14ac:dyDescent="0.25">
      <c r="A8308" s="1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  <c r="P8308"/>
      <c r="Q8308"/>
      <c r="R8308"/>
      <c r="S8308"/>
    </row>
    <row r="8309" spans="1:19" x14ac:dyDescent="0.25">
      <c r="A8309" s="1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  <c r="P8309"/>
      <c r="Q8309"/>
      <c r="R8309"/>
      <c r="S8309"/>
    </row>
    <row r="8310" spans="1:19" x14ac:dyDescent="0.25">
      <c r="A8310" s="1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  <c r="P8310"/>
      <c r="Q8310"/>
      <c r="R8310"/>
      <c r="S8310"/>
    </row>
    <row r="8311" spans="1:19" x14ac:dyDescent="0.25">
      <c r="A8311" s="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  <c r="P8311"/>
      <c r="Q8311"/>
      <c r="R8311"/>
      <c r="S8311"/>
    </row>
    <row r="8312" spans="1:19" x14ac:dyDescent="0.25">
      <c r="A8312" s="1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  <c r="P8312"/>
      <c r="Q8312"/>
      <c r="R8312"/>
      <c r="S8312"/>
    </row>
    <row r="8313" spans="1:19" x14ac:dyDescent="0.25">
      <c r="A8313" s="1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  <c r="P8313"/>
      <c r="Q8313"/>
      <c r="R8313"/>
      <c r="S8313"/>
    </row>
    <row r="8314" spans="1:19" x14ac:dyDescent="0.25">
      <c r="A8314" s="1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  <c r="P8314"/>
      <c r="Q8314"/>
      <c r="R8314"/>
      <c r="S8314"/>
    </row>
    <row r="8315" spans="1:19" x14ac:dyDescent="0.25">
      <c r="A8315" s="1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  <c r="P8315"/>
      <c r="Q8315"/>
      <c r="R8315"/>
      <c r="S8315"/>
    </row>
    <row r="8316" spans="1:19" x14ac:dyDescent="0.25">
      <c r="A8316" s="1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  <c r="P8316"/>
      <c r="Q8316"/>
      <c r="R8316"/>
      <c r="S8316"/>
    </row>
    <row r="8317" spans="1:19" x14ac:dyDescent="0.25">
      <c r="A8317" s="1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  <c r="P8317"/>
      <c r="Q8317"/>
      <c r="R8317"/>
      <c r="S8317"/>
    </row>
    <row r="8318" spans="1:19" x14ac:dyDescent="0.25">
      <c r="A8318" s="1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  <c r="P8318"/>
      <c r="Q8318"/>
      <c r="R8318"/>
      <c r="S8318"/>
    </row>
    <row r="8319" spans="1:19" x14ac:dyDescent="0.25">
      <c r="A8319" s="1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  <c r="P8319"/>
      <c r="Q8319"/>
      <c r="R8319"/>
      <c r="S8319"/>
    </row>
    <row r="8320" spans="1:19" x14ac:dyDescent="0.25">
      <c r="A8320" s="1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  <c r="P8320"/>
      <c r="Q8320"/>
      <c r="R8320"/>
      <c r="S8320"/>
    </row>
    <row r="8321" spans="1:19" x14ac:dyDescent="0.25">
      <c r="A8321" s="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  <c r="P8321"/>
      <c r="Q8321"/>
      <c r="R8321"/>
      <c r="S8321"/>
    </row>
    <row r="8322" spans="1:19" x14ac:dyDescent="0.25">
      <c r="A8322" s="1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  <c r="P8322"/>
      <c r="Q8322"/>
      <c r="R8322"/>
      <c r="S8322"/>
    </row>
    <row r="8323" spans="1:19" x14ac:dyDescent="0.25">
      <c r="A8323" s="1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  <c r="P8323"/>
      <c r="Q8323"/>
      <c r="R8323"/>
      <c r="S8323"/>
    </row>
    <row r="8324" spans="1:19" x14ac:dyDescent="0.25">
      <c r="A8324" s="1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  <c r="P8324"/>
      <c r="Q8324"/>
      <c r="R8324"/>
      <c r="S8324"/>
    </row>
    <row r="8325" spans="1:19" x14ac:dyDescent="0.25">
      <c r="A8325" s="1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  <c r="P8325"/>
      <c r="Q8325"/>
      <c r="R8325"/>
      <c r="S8325"/>
    </row>
    <row r="8326" spans="1:19" x14ac:dyDescent="0.25">
      <c r="A8326" s="1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  <c r="P8326"/>
      <c r="Q8326"/>
      <c r="R8326"/>
      <c r="S8326"/>
    </row>
    <row r="8327" spans="1:19" x14ac:dyDescent="0.25">
      <c r="A8327" s="1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  <c r="P8327"/>
      <c r="Q8327"/>
      <c r="R8327"/>
      <c r="S8327"/>
    </row>
    <row r="8328" spans="1:19" x14ac:dyDescent="0.25">
      <c r="A8328" s="1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  <c r="P8328"/>
      <c r="Q8328"/>
      <c r="R8328"/>
      <c r="S8328"/>
    </row>
    <row r="8329" spans="1:19" x14ac:dyDescent="0.25">
      <c r="A8329" s="1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  <c r="P8329"/>
      <c r="Q8329"/>
      <c r="R8329"/>
      <c r="S8329"/>
    </row>
    <row r="8330" spans="1:19" x14ac:dyDescent="0.25">
      <c r="A8330" s="1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  <c r="P8330"/>
      <c r="Q8330"/>
      <c r="R8330"/>
      <c r="S8330"/>
    </row>
    <row r="8331" spans="1:19" x14ac:dyDescent="0.25">
      <c r="A8331" s="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  <c r="P8331"/>
      <c r="Q8331"/>
      <c r="R8331"/>
      <c r="S8331"/>
    </row>
    <row r="8332" spans="1:19" x14ac:dyDescent="0.25">
      <c r="A8332" s="1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  <c r="P8332"/>
      <c r="Q8332"/>
      <c r="R8332"/>
      <c r="S8332"/>
    </row>
    <row r="8333" spans="1:19" x14ac:dyDescent="0.25">
      <c r="A8333" s="1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  <c r="P8333"/>
      <c r="Q8333"/>
      <c r="R8333"/>
      <c r="S8333"/>
    </row>
    <row r="8334" spans="1:19" x14ac:dyDescent="0.25">
      <c r="A8334" s="1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  <c r="P8334"/>
      <c r="Q8334"/>
      <c r="R8334"/>
      <c r="S8334"/>
    </row>
    <row r="8335" spans="1:19" x14ac:dyDescent="0.25">
      <c r="A8335" s="1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  <c r="P8335"/>
      <c r="Q8335"/>
      <c r="R8335"/>
      <c r="S8335"/>
    </row>
    <row r="8336" spans="1:19" x14ac:dyDescent="0.25">
      <c r="A8336" s="1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  <c r="P8336"/>
      <c r="Q8336"/>
      <c r="R8336"/>
      <c r="S8336"/>
    </row>
    <row r="8337" spans="1:19" x14ac:dyDescent="0.25">
      <c r="A8337" s="1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  <c r="P8337"/>
      <c r="Q8337"/>
      <c r="R8337"/>
      <c r="S8337"/>
    </row>
    <row r="8338" spans="1:19" x14ac:dyDescent="0.25">
      <c r="A8338" s="1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  <c r="P8338"/>
      <c r="Q8338"/>
      <c r="R8338"/>
      <c r="S8338"/>
    </row>
    <row r="8339" spans="1:19" x14ac:dyDescent="0.25">
      <c r="A8339" s="1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  <c r="P8339"/>
      <c r="Q8339"/>
      <c r="R8339"/>
      <c r="S8339"/>
    </row>
    <row r="8340" spans="1:19" x14ac:dyDescent="0.25">
      <c r="A8340" s="1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  <c r="P8340"/>
      <c r="Q8340"/>
      <c r="R8340"/>
      <c r="S8340"/>
    </row>
    <row r="8341" spans="1:19" x14ac:dyDescent="0.25">
      <c r="A8341" s="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  <c r="P8341"/>
      <c r="Q8341"/>
      <c r="R8341"/>
      <c r="S8341"/>
    </row>
    <row r="8342" spans="1:19" x14ac:dyDescent="0.25">
      <c r="A8342" s="1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  <c r="P8342"/>
      <c r="Q8342"/>
      <c r="R8342"/>
      <c r="S8342"/>
    </row>
    <row r="8343" spans="1:19" x14ac:dyDescent="0.25">
      <c r="A8343" s="1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  <c r="P8343"/>
      <c r="Q8343"/>
      <c r="R8343"/>
      <c r="S8343"/>
    </row>
    <row r="8344" spans="1:19" x14ac:dyDescent="0.25">
      <c r="A8344" s="1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  <c r="P8344"/>
      <c r="Q8344"/>
      <c r="R8344"/>
      <c r="S8344"/>
    </row>
    <row r="8345" spans="1:19" x14ac:dyDescent="0.25">
      <c r="A8345" s="1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  <c r="P8345"/>
      <c r="Q8345"/>
      <c r="R8345"/>
      <c r="S8345"/>
    </row>
    <row r="8346" spans="1:19" x14ac:dyDescent="0.25">
      <c r="A8346" s="1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  <c r="P8346"/>
      <c r="Q8346"/>
      <c r="R8346"/>
      <c r="S8346"/>
    </row>
    <row r="8347" spans="1:19" x14ac:dyDescent="0.25">
      <c r="A8347" s="1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  <c r="P8347"/>
      <c r="Q8347"/>
      <c r="R8347"/>
      <c r="S8347"/>
    </row>
    <row r="8348" spans="1:19" x14ac:dyDescent="0.25">
      <c r="A8348" s="1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  <c r="P8348"/>
      <c r="Q8348"/>
      <c r="R8348"/>
      <c r="S8348"/>
    </row>
    <row r="8349" spans="1:19" x14ac:dyDescent="0.25">
      <c r="A8349" s="1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  <c r="P8349"/>
      <c r="Q8349"/>
      <c r="R8349"/>
      <c r="S8349"/>
    </row>
    <row r="8350" spans="1:19" x14ac:dyDescent="0.25">
      <c r="A8350" s="1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  <c r="P8350"/>
      <c r="Q8350"/>
      <c r="R8350"/>
      <c r="S8350"/>
    </row>
    <row r="8351" spans="1:19" x14ac:dyDescent="0.25">
      <c r="A8351" s="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  <c r="P8351"/>
      <c r="Q8351"/>
      <c r="R8351"/>
      <c r="S8351"/>
    </row>
    <row r="8352" spans="1:19" x14ac:dyDescent="0.25">
      <c r="A8352" s="1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  <c r="P8352"/>
      <c r="Q8352"/>
      <c r="R8352"/>
      <c r="S8352"/>
    </row>
    <row r="8353" spans="1:19" x14ac:dyDescent="0.25">
      <c r="A8353" s="1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  <c r="P8353"/>
      <c r="Q8353"/>
      <c r="R8353"/>
      <c r="S8353"/>
    </row>
    <row r="8354" spans="1:19" x14ac:dyDescent="0.25">
      <c r="A8354" s="1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  <c r="P8354"/>
      <c r="Q8354"/>
      <c r="R8354"/>
      <c r="S8354"/>
    </row>
    <row r="8355" spans="1:19" x14ac:dyDescent="0.25">
      <c r="A8355" s="1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  <c r="P8355"/>
      <c r="Q8355"/>
      <c r="R8355"/>
      <c r="S8355"/>
    </row>
    <row r="8356" spans="1:19" x14ac:dyDescent="0.25">
      <c r="A8356" s="1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  <c r="P8356"/>
      <c r="Q8356"/>
      <c r="R8356"/>
      <c r="S8356"/>
    </row>
    <row r="8357" spans="1:19" x14ac:dyDescent="0.25">
      <c r="A8357" s="1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  <c r="P8357"/>
      <c r="Q8357"/>
      <c r="R8357"/>
      <c r="S8357"/>
    </row>
    <row r="8358" spans="1:19" x14ac:dyDescent="0.25">
      <c r="A8358" s="1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  <c r="P8358"/>
      <c r="Q8358"/>
      <c r="R8358"/>
      <c r="S8358"/>
    </row>
    <row r="8359" spans="1:19" x14ac:dyDescent="0.25">
      <c r="A8359" s="1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  <c r="P8359"/>
      <c r="Q8359"/>
      <c r="R8359"/>
      <c r="S8359"/>
    </row>
    <row r="8360" spans="1:19" x14ac:dyDescent="0.25">
      <c r="A8360" s="1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  <c r="P8360"/>
      <c r="Q8360"/>
      <c r="R8360"/>
      <c r="S8360"/>
    </row>
    <row r="8361" spans="1:19" x14ac:dyDescent="0.25">
      <c r="A8361" s="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  <c r="P8361"/>
      <c r="Q8361"/>
      <c r="R8361"/>
      <c r="S8361"/>
    </row>
    <row r="8362" spans="1:19" x14ac:dyDescent="0.25">
      <c r="A8362" s="1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  <c r="P8362"/>
      <c r="Q8362"/>
      <c r="R8362"/>
      <c r="S8362"/>
    </row>
    <row r="8363" spans="1:19" x14ac:dyDescent="0.25">
      <c r="A8363" s="1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  <c r="P8363"/>
      <c r="Q8363"/>
      <c r="R8363"/>
      <c r="S8363"/>
    </row>
    <row r="8364" spans="1:19" x14ac:dyDescent="0.25">
      <c r="A8364" s="1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  <c r="P8364"/>
      <c r="Q8364"/>
      <c r="R8364"/>
      <c r="S8364"/>
    </row>
    <row r="8365" spans="1:19" x14ac:dyDescent="0.25">
      <c r="A8365" s="1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  <c r="P8365"/>
      <c r="Q8365"/>
      <c r="R8365"/>
      <c r="S8365"/>
    </row>
    <row r="8366" spans="1:19" x14ac:dyDescent="0.25">
      <c r="A8366" s="1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  <c r="P8366"/>
      <c r="Q8366"/>
      <c r="R8366"/>
      <c r="S8366"/>
    </row>
    <row r="8367" spans="1:19" x14ac:dyDescent="0.25">
      <c r="A8367" s="1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  <c r="P8367"/>
      <c r="Q8367"/>
      <c r="R8367"/>
      <c r="S8367"/>
    </row>
    <row r="8368" spans="1:19" x14ac:dyDescent="0.25">
      <c r="A8368" s="1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  <c r="P8368"/>
      <c r="Q8368"/>
      <c r="R8368"/>
      <c r="S8368"/>
    </row>
    <row r="8369" spans="1:19" x14ac:dyDescent="0.25">
      <c r="A8369" s="1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  <c r="P8369"/>
      <c r="Q8369"/>
      <c r="R8369"/>
      <c r="S8369"/>
    </row>
    <row r="8370" spans="1:19" x14ac:dyDescent="0.25">
      <c r="A8370" s="1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  <c r="P8370"/>
      <c r="Q8370"/>
      <c r="R8370"/>
      <c r="S8370"/>
    </row>
    <row r="8371" spans="1:19" x14ac:dyDescent="0.25">
      <c r="A8371" s="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  <c r="P8371"/>
      <c r="Q8371"/>
      <c r="R8371"/>
      <c r="S8371"/>
    </row>
    <row r="8372" spans="1:19" x14ac:dyDescent="0.25">
      <c r="A8372" s="1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  <c r="P8372"/>
      <c r="Q8372"/>
      <c r="R8372"/>
      <c r="S8372"/>
    </row>
    <row r="8373" spans="1:19" x14ac:dyDescent="0.25">
      <c r="A8373" s="1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  <c r="P8373"/>
      <c r="Q8373"/>
      <c r="R8373"/>
      <c r="S8373"/>
    </row>
    <row r="8374" spans="1:19" x14ac:dyDescent="0.25">
      <c r="A8374" s="1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  <c r="P8374"/>
      <c r="Q8374"/>
      <c r="R8374"/>
      <c r="S8374"/>
    </row>
    <row r="8375" spans="1:19" x14ac:dyDescent="0.25">
      <c r="A8375" s="1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  <c r="P8375"/>
      <c r="Q8375"/>
      <c r="R8375"/>
      <c r="S8375"/>
    </row>
    <row r="8376" spans="1:19" x14ac:dyDescent="0.25">
      <c r="A8376" s="1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  <c r="P8376"/>
      <c r="Q8376"/>
      <c r="R8376"/>
      <c r="S8376"/>
    </row>
    <row r="8377" spans="1:19" x14ac:dyDescent="0.25">
      <c r="A8377" s="1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  <c r="P8377"/>
      <c r="Q8377"/>
      <c r="R8377"/>
      <c r="S8377"/>
    </row>
    <row r="8378" spans="1:19" x14ac:dyDescent="0.25">
      <c r="A8378" s="1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  <c r="P8378"/>
      <c r="Q8378"/>
      <c r="R8378"/>
      <c r="S8378"/>
    </row>
    <row r="8379" spans="1:19" x14ac:dyDescent="0.25">
      <c r="A8379" s="1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  <c r="P8379"/>
      <c r="Q8379"/>
      <c r="R8379"/>
      <c r="S8379"/>
    </row>
    <row r="8380" spans="1:19" x14ac:dyDescent="0.25">
      <c r="A8380" s="1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  <c r="P8380"/>
      <c r="Q8380"/>
      <c r="R8380"/>
      <c r="S8380"/>
    </row>
    <row r="8381" spans="1:19" x14ac:dyDescent="0.25">
      <c r="A8381" s="1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  <c r="P8381"/>
      <c r="Q8381"/>
      <c r="R8381"/>
      <c r="S8381"/>
    </row>
    <row r="8382" spans="1:19" x14ac:dyDescent="0.25">
      <c r="A8382" s="1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  <c r="P8382"/>
      <c r="Q8382"/>
      <c r="R8382"/>
      <c r="S8382"/>
    </row>
    <row r="8383" spans="1:19" x14ac:dyDescent="0.25">
      <c r="A8383" s="1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  <c r="P8383"/>
      <c r="Q8383"/>
      <c r="R8383"/>
      <c r="S8383"/>
    </row>
    <row r="8384" spans="1:19" x14ac:dyDescent="0.25">
      <c r="A8384" s="1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  <c r="P8384"/>
      <c r="Q8384"/>
      <c r="R8384"/>
      <c r="S8384"/>
    </row>
    <row r="8385" spans="1:19" x14ac:dyDescent="0.25">
      <c r="A8385" s="1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  <c r="P8385"/>
      <c r="Q8385"/>
      <c r="R8385"/>
      <c r="S8385"/>
    </row>
    <row r="8386" spans="1:19" x14ac:dyDescent="0.25">
      <c r="A8386" s="1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  <c r="P8386"/>
      <c r="Q8386"/>
      <c r="R8386"/>
      <c r="S8386"/>
    </row>
    <row r="8387" spans="1:19" x14ac:dyDescent="0.25">
      <c r="A8387" s="1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  <c r="P8387"/>
      <c r="Q8387"/>
      <c r="R8387"/>
      <c r="S8387"/>
    </row>
    <row r="8388" spans="1:19" x14ac:dyDescent="0.25">
      <c r="A8388" s="1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  <c r="P8388"/>
      <c r="Q8388"/>
      <c r="R8388"/>
      <c r="S8388"/>
    </row>
    <row r="8389" spans="1:19" x14ac:dyDescent="0.25">
      <c r="A8389" s="1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  <c r="P8389"/>
      <c r="Q8389"/>
      <c r="R8389"/>
      <c r="S8389"/>
    </row>
    <row r="8390" spans="1:19" x14ac:dyDescent="0.25">
      <c r="A8390" s="1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  <c r="P8390"/>
      <c r="Q8390"/>
      <c r="R8390"/>
      <c r="S8390"/>
    </row>
    <row r="8391" spans="1:19" x14ac:dyDescent="0.25">
      <c r="A8391" s="1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  <c r="P8391"/>
      <c r="Q8391"/>
      <c r="R8391"/>
      <c r="S8391"/>
    </row>
    <row r="8392" spans="1:19" x14ac:dyDescent="0.25">
      <c r="A8392" s="1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  <c r="P8392"/>
      <c r="Q8392"/>
      <c r="R8392"/>
      <c r="S8392"/>
    </row>
    <row r="8393" spans="1:19" x14ac:dyDescent="0.25">
      <c r="A8393" s="1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  <c r="P8393"/>
      <c r="Q8393"/>
      <c r="R8393"/>
      <c r="S8393"/>
    </row>
    <row r="8394" spans="1:19" x14ac:dyDescent="0.25">
      <c r="A8394" s="1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  <c r="P8394"/>
      <c r="Q8394"/>
      <c r="R8394"/>
      <c r="S8394"/>
    </row>
    <row r="8395" spans="1:19" x14ac:dyDescent="0.25">
      <c r="A8395" s="1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  <c r="P8395"/>
      <c r="Q8395"/>
      <c r="R8395"/>
      <c r="S8395"/>
    </row>
    <row r="8396" spans="1:19" x14ac:dyDescent="0.25">
      <c r="A8396" s="1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  <c r="P8396"/>
      <c r="Q8396"/>
      <c r="R8396"/>
      <c r="S8396"/>
    </row>
    <row r="8397" spans="1:19" x14ac:dyDescent="0.25">
      <c r="A8397" s="1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  <c r="P8397"/>
      <c r="Q8397"/>
      <c r="R8397"/>
      <c r="S8397"/>
    </row>
    <row r="8398" spans="1:19" x14ac:dyDescent="0.25">
      <c r="A8398" s="1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  <c r="P8398"/>
      <c r="Q8398"/>
      <c r="R8398"/>
      <c r="S8398"/>
    </row>
    <row r="8399" spans="1:19" x14ac:dyDescent="0.25">
      <c r="A8399" s="1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  <c r="P8399"/>
      <c r="Q8399"/>
      <c r="R8399"/>
      <c r="S8399"/>
    </row>
    <row r="8400" spans="1:19" x14ac:dyDescent="0.25">
      <c r="A8400" s="1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  <c r="P8400"/>
      <c r="Q8400"/>
      <c r="R8400"/>
      <c r="S8400"/>
    </row>
    <row r="8401" spans="1:19" x14ac:dyDescent="0.25">
      <c r="A8401" s="1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  <c r="P8401"/>
      <c r="Q8401"/>
      <c r="R8401"/>
      <c r="S8401"/>
    </row>
    <row r="8402" spans="1:19" x14ac:dyDescent="0.25">
      <c r="A8402" s="1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  <c r="P8402"/>
      <c r="Q8402"/>
      <c r="R8402"/>
      <c r="S8402"/>
    </row>
    <row r="8403" spans="1:19" x14ac:dyDescent="0.25">
      <c r="A8403" s="1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  <c r="P8403"/>
      <c r="Q8403"/>
      <c r="R8403"/>
      <c r="S8403"/>
    </row>
    <row r="8404" spans="1:19" x14ac:dyDescent="0.25">
      <c r="A8404" s="1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  <c r="P8404"/>
      <c r="Q8404"/>
      <c r="R8404"/>
      <c r="S8404"/>
    </row>
    <row r="8405" spans="1:19" x14ac:dyDescent="0.25">
      <c r="A8405" s="1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  <c r="P8405"/>
      <c r="Q8405"/>
      <c r="R8405"/>
      <c r="S8405"/>
    </row>
    <row r="8406" spans="1:19" x14ac:dyDescent="0.25">
      <c r="A8406" s="1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  <c r="P8406"/>
      <c r="Q8406"/>
      <c r="R8406"/>
      <c r="S8406"/>
    </row>
    <row r="8407" spans="1:19" x14ac:dyDescent="0.25">
      <c r="A8407" s="1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  <c r="P8407"/>
      <c r="Q8407"/>
      <c r="R8407"/>
      <c r="S8407"/>
    </row>
    <row r="8408" spans="1:19" x14ac:dyDescent="0.25">
      <c r="A8408" s="1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  <c r="P8408"/>
      <c r="Q8408"/>
      <c r="R8408"/>
      <c r="S8408"/>
    </row>
    <row r="8409" spans="1:19" x14ac:dyDescent="0.25">
      <c r="A8409" s="1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  <c r="P8409"/>
      <c r="Q8409"/>
      <c r="R8409"/>
      <c r="S8409"/>
    </row>
    <row r="8410" spans="1:19" x14ac:dyDescent="0.25">
      <c r="A8410" s="1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  <c r="P8410"/>
      <c r="Q8410"/>
      <c r="R8410"/>
      <c r="S8410"/>
    </row>
    <row r="8411" spans="1:19" x14ac:dyDescent="0.25">
      <c r="A8411" s="1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  <c r="P8411"/>
      <c r="Q8411"/>
      <c r="R8411"/>
      <c r="S8411"/>
    </row>
    <row r="8412" spans="1:19" x14ac:dyDescent="0.25">
      <c r="A8412" s="1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  <c r="P8412"/>
      <c r="Q8412"/>
      <c r="R8412"/>
      <c r="S8412"/>
    </row>
    <row r="8413" spans="1:19" x14ac:dyDescent="0.25">
      <c r="A8413" s="1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  <c r="P8413"/>
      <c r="Q8413"/>
      <c r="R8413"/>
      <c r="S8413"/>
    </row>
    <row r="8414" spans="1:19" x14ac:dyDescent="0.25">
      <c r="A8414" s="1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  <c r="P8414"/>
      <c r="Q8414"/>
      <c r="R8414"/>
      <c r="S8414"/>
    </row>
    <row r="8415" spans="1:19" x14ac:dyDescent="0.25">
      <c r="A8415" s="1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  <c r="P8415"/>
      <c r="Q8415"/>
      <c r="R8415"/>
      <c r="S8415"/>
    </row>
    <row r="8416" spans="1:19" x14ac:dyDescent="0.25">
      <c r="A8416" s="1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  <c r="P8416"/>
      <c r="Q8416"/>
      <c r="R8416"/>
      <c r="S8416"/>
    </row>
    <row r="8417" spans="1:19" x14ac:dyDescent="0.25">
      <c r="A8417" s="1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  <c r="P8417"/>
      <c r="Q8417"/>
      <c r="R8417"/>
      <c r="S8417"/>
    </row>
    <row r="8418" spans="1:19" x14ac:dyDescent="0.25">
      <c r="A8418" s="1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  <c r="P8418"/>
      <c r="Q8418"/>
      <c r="R8418"/>
      <c r="S8418"/>
    </row>
    <row r="8419" spans="1:19" x14ac:dyDescent="0.25">
      <c r="A8419" s="1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  <c r="P8419"/>
      <c r="Q8419"/>
      <c r="R8419"/>
      <c r="S8419"/>
    </row>
    <row r="8420" spans="1:19" x14ac:dyDescent="0.25">
      <c r="A8420" s="1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  <c r="P8420"/>
      <c r="Q8420"/>
      <c r="R8420"/>
      <c r="S8420"/>
    </row>
    <row r="8421" spans="1:19" x14ac:dyDescent="0.25">
      <c r="A8421" s="1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  <c r="P8421"/>
      <c r="Q8421"/>
      <c r="R8421"/>
      <c r="S8421"/>
    </row>
    <row r="8422" spans="1:19" x14ac:dyDescent="0.25">
      <c r="A8422" s="1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  <c r="P8422"/>
      <c r="Q8422"/>
      <c r="R8422"/>
      <c r="S8422"/>
    </row>
    <row r="8423" spans="1:19" x14ac:dyDescent="0.25">
      <c r="A8423" s="1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  <c r="P8423"/>
      <c r="Q8423"/>
      <c r="R8423"/>
      <c r="S8423"/>
    </row>
    <row r="8424" spans="1:19" x14ac:dyDescent="0.25">
      <c r="A8424" s="1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  <c r="P8424"/>
      <c r="Q8424"/>
      <c r="R8424"/>
      <c r="S8424"/>
    </row>
    <row r="8425" spans="1:19" x14ac:dyDescent="0.25">
      <c r="A8425" s="1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  <c r="P8425"/>
      <c r="Q8425"/>
      <c r="R8425"/>
      <c r="S8425"/>
    </row>
    <row r="8426" spans="1:19" x14ac:dyDescent="0.25">
      <c r="A8426" s="1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  <c r="P8426"/>
      <c r="Q8426"/>
      <c r="R8426"/>
      <c r="S8426"/>
    </row>
    <row r="8427" spans="1:19" x14ac:dyDescent="0.25">
      <c r="A8427" s="1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  <c r="P8427"/>
      <c r="Q8427"/>
      <c r="R8427"/>
      <c r="S8427"/>
    </row>
    <row r="8428" spans="1:19" x14ac:dyDescent="0.25">
      <c r="A8428" s="1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  <c r="P8428"/>
      <c r="Q8428"/>
      <c r="R8428"/>
      <c r="S8428"/>
    </row>
    <row r="8429" spans="1:19" x14ac:dyDescent="0.25">
      <c r="A8429" s="1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  <c r="P8429"/>
      <c r="Q8429"/>
      <c r="R8429"/>
      <c r="S8429"/>
    </row>
    <row r="8430" spans="1:19" x14ac:dyDescent="0.25">
      <c r="A8430" s="1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  <c r="P8430"/>
      <c r="Q8430"/>
      <c r="R8430"/>
      <c r="S8430"/>
    </row>
    <row r="8431" spans="1:19" x14ac:dyDescent="0.25">
      <c r="A8431" s="1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  <c r="P8431"/>
      <c r="Q8431"/>
      <c r="R8431"/>
      <c r="S8431"/>
    </row>
    <row r="8432" spans="1:19" x14ac:dyDescent="0.25">
      <c r="A8432" s="1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  <c r="P8432"/>
      <c r="Q8432"/>
      <c r="R8432"/>
      <c r="S8432"/>
    </row>
    <row r="8433" spans="1:19" x14ac:dyDescent="0.25">
      <c r="A8433" s="1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  <c r="P8433"/>
      <c r="Q8433"/>
      <c r="R8433"/>
      <c r="S8433"/>
    </row>
    <row r="8434" spans="1:19" x14ac:dyDescent="0.25">
      <c r="A8434" s="1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  <c r="P8434"/>
      <c r="Q8434"/>
      <c r="R8434"/>
      <c r="S8434"/>
    </row>
    <row r="8435" spans="1:19" x14ac:dyDescent="0.25">
      <c r="A8435" s="1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  <c r="P8435"/>
      <c r="Q8435"/>
      <c r="R8435"/>
      <c r="S8435"/>
    </row>
    <row r="8436" spans="1:19" x14ac:dyDescent="0.25">
      <c r="A8436" s="1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  <c r="P8436"/>
      <c r="Q8436"/>
      <c r="R8436"/>
      <c r="S8436"/>
    </row>
    <row r="8437" spans="1:19" x14ac:dyDescent="0.25">
      <c r="A8437" s="1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  <c r="P8437"/>
      <c r="Q8437"/>
      <c r="R8437"/>
      <c r="S8437"/>
    </row>
    <row r="8438" spans="1:19" x14ac:dyDescent="0.25">
      <c r="A8438" s="1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  <c r="P8438"/>
      <c r="Q8438"/>
      <c r="R8438"/>
      <c r="S8438"/>
    </row>
    <row r="8439" spans="1:19" x14ac:dyDescent="0.25">
      <c r="A8439" s="1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  <c r="P8439"/>
      <c r="Q8439"/>
      <c r="R8439"/>
      <c r="S8439"/>
    </row>
    <row r="8440" spans="1:19" x14ac:dyDescent="0.25">
      <c r="A8440" s="1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  <c r="P8440"/>
      <c r="Q8440"/>
      <c r="R8440"/>
      <c r="S8440"/>
    </row>
    <row r="8441" spans="1:19" x14ac:dyDescent="0.25">
      <c r="A8441" s="1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  <c r="P8441"/>
      <c r="Q8441"/>
      <c r="R8441"/>
      <c r="S8441"/>
    </row>
    <row r="8442" spans="1:19" x14ac:dyDescent="0.25">
      <c r="A8442" s="1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  <c r="P8442"/>
      <c r="Q8442"/>
      <c r="R8442"/>
      <c r="S8442"/>
    </row>
    <row r="8443" spans="1:19" x14ac:dyDescent="0.25">
      <c r="A8443" s="1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  <c r="P8443"/>
      <c r="Q8443"/>
      <c r="R8443"/>
      <c r="S8443"/>
    </row>
    <row r="8444" spans="1:19" x14ac:dyDescent="0.25">
      <c r="A8444" s="1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  <c r="P8444"/>
      <c r="Q8444"/>
      <c r="R8444"/>
      <c r="S8444"/>
    </row>
    <row r="8445" spans="1:19" x14ac:dyDescent="0.25">
      <c r="A8445" s="1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  <c r="P8445"/>
      <c r="Q8445"/>
      <c r="R8445"/>
      <c r="S8445"/>
    </row>
    <row r="8446" spans="1:19" x14ac:dyDescent="0.25">
      <c r="A8446" s="1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  <c r="P8446"/>
      <c r="Q8446"/>
      <c r="R8446"/>
      <c r="S8446"/>
    </row>
    <row r="8447" spans="1:19" x14ac:dyDescent="0.25">
      <c r="A8447" s="1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  <c r="P8447"/>
      <c r="Q8447"/>
      <c r="R8447"/>
      <c r="S8447"/>
    </row>
    <row r="8448" spans="1:19" x14ac:dyDescent="0.25">
      <c r="A8448" s="1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  <c r="P8448"/>
      <c r="Q8448"/>
      <c r="R8448"/>
      <c r="S8448"/>
    </row>
    <row r="8449" spans="1:19" x14ac:dyDescent="0.25">
      <c r="A8449" s="1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  <c r="P8449"/>
      <c r="Q8449"/>
      <c r="R8449"/>
      <c r="S8449"/>
    </row>
    <row r="8450" spans="1:19" x14ac:dyDescent="0.25">
      <c r="A8450" s="1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  <c r="P8450"/>
      <c r="Q8450"/>
      <c r="R8450"/>
      <c r="S8450"/>
    </row>
    <row r="8451" spans="1:19" x14ac:dyDescent="0.25">
      <c r="A8451" s="1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  <c r="P8451"/>
      <c r="Q8451"/>
      <c r="R8451"/>
      <c r="S8451"/>
    </row>
    <row r="8452" spans="1:19" x14ac:dyDescent="0.25">
      <c r="A8452" s="1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  <c r="P8452"/>
      <c r="Q8452"/>
      <c r="R8452"/>
      <c r="S8452"/>
    </row>
    <row r="8453" spans="1:19" x14ac:dyDescent="0.25">
      <c r="A8453" s="1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  <c r="P8453"/>
      <c r="Q8453"/>
      <c r="R8453"/>
      <c r="S8453"/>
    </row>
    <row r="8454" spans="1:19" x14ac:dyDescent="0.25">
      <c r="A8454" s="1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  <c r="P8454"/>
      <c r="Q8454"/>
      <c r="R8454"/>
      <c r="S8454"/>
    </row>
    <row r="8455" spans="1:19" x14ac:dyDescent="0.25">
      <c r="A8455" s="1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  <c r="P8455"/>
      <c r="Q8455"/>
      <c r="R8455"/>
      <c r="S8455"/>
    </row>
    <row r="8456" spans="1:19" x14ac:dyDescent="0.25">
      <c r="A8456" s="1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  <c r="P8456"/>
      <c r="Q8456"/>
      <c r="R8456"/>
      <c r="S8456"/>
    </row>
    <row r="8457" spans="1:19" x14ac:dyDescent="0.25">
      <c r="A8457" s="1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  <c r="P8457"/>
      <c r="Q8457"/>
      <c r="R8457"/>
      <c r="S8457"/>
    </row>
    <row r="8458" spans="1:19" x14ac:dyDescent="0.25">
      <c r="A8458" s="1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  <c r="P8458"/>
      <c r="Q8458"/>
      <c r="R8458"/>
      <c r="S8458"/>
    </row>
    <row r="8459" spans="1:19" x14ac:dyDescent="0.25">
      <c r="A8459" s="1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  <c r="P8459"/>
      <c r="Q8459"/>
      <c r="R8459"/>
      <c r="S8459"/>
    </row>
    <row r="8460" spans="1:19" x14ac:dyDescent="0.25">
      <c r="A8460" s="1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  <c r="P8460"/>
      <c r="Q8460"/>
      <c r="R8460"/>
      <c r="S8460"/>
    </row>
    <row r="8461" spans="1:19" x14ac:dyDescent="0.25">
      <c r="A8461" s="1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  <c r="P8461"/>
      <c r="Q8461"/>
      <c r="R8461"/>
      <c r="S8461"/>
    </row>
    <row r="8462" spans="1:19" x14ac:dyDescent="0.25">
      <c r="A8462" s="1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  <c r="P8462"/>
      <c r="Q8462"/>
      <c r="R8462"/>
      <c r="S8462"/>
    </row>
    <row r="8463" spans="1:19" x14ac:dyDescent="0.25">
      <c r="A8463" s="1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  <c r="P8463"/>
      <c r="Q8463"/>
      <c r="R8463"/>
      <c r="S8463"/>
    </row>
    <row r="8464" spans="1:19" x14ac:dyDescent="0.25">
      <c r="A8464" s="1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  <c r="P8464"/>
      <c r="Q8464"/>
      <c r="R8464"/>
      <c r="S8464"/>
    </row>
    <row r="8465" spans="1:19" x14ac:dyDescent="0.25">
      <c r="A8465" s="1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  <c r="P8465"/>
      <c r="Q8465"/>
      <c r="R8465"/>
      <c r="S8465"/>
    </row>
    <row r="8466" spans="1:19" x14ac:dyDescent="0.25">
      <c r="A8466" s="1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  <c r="P8466"/>
      <c r="Q8466"/>
      <c r="R8466"/>
      <c r="S8466"/>
    </row>
    <row r="8467" spans="1:19" x14ac:dyDescent="0.25">
      <c r="A8467" s="1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  <c r="P8467"/>
      <c r="Q8467"/>
      <c r="R8467"/>
      <c r="S8467"/>
    </row>
    <row r="8468" spans="1:19" x14ac:dyDescent="0.25">
      <c r="A8468" s="1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  <c r="P8468"/>
      <c r="Q8468"/>
      <c r="R8468"/>
      <c r="S8468"/>
    </row>
    <row r="8469" spans="1:19" x14ac:dyDescent="0.25">
      <c r="A8469" s="1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  <c r="P8469"/>
      <c r="Q8469"/>
      <c r="R8469"/>
      <c r="S8469"/>
    </row>
    <row r="8470" spans="1:19" x14ac:dyDescent="0.25">
      <c r="A8470" s="1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  <c r="P8470"/>
      <c r="Q8470"/>
      <c r="R8470"/>
      <c r="S8470"/>
    </row>
    <row r="8471" spans="1:19" x14ac:dyDescent="0.25">
      <c r="A8471" s="1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  <c r="P8471"/>
      <c r="Q8471"/>
      <c r="R8471"/>
      <c r="S8471"/>
    </row>
    <row r="8472" spans="1:19" x14ac:dyDescent="0.25">
      <c r="A8472" s="1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  <c r="P8472"/>
      <c r="Q8472"/>
      <c r="R8472"/>
      <c r="S8472"/>
    </row>
    <row r="8473" spans="1:19" x14ac:dyDescent="0.25">
      <c r="A8473" s="1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  <c r="P8473"/>
      <c r="Q8473"/>
      <c r="R8473"/>
      <c r="S8473"/>
    </row>
    <row r="8474" spans="1:19" x14ac:dyDescent="0.25">
      <c r="A8474" s="1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  <c r="P8474"/>
      <c r="Q8474"/>
      <c r="R8474"/>
      <c r="S8474"/>
    </row>
    <row r="8475" spans="1:19" x14ac:dyDescent="0.25">
      <c r="A8475" s="1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  <c r="P8475"/>
      <c r="Q8475"/>
      <c r="R8475"/>
      <c r="S8475"/>
    </row>
    <row r="8476" spans="1:19" x14ac:dyDescent="0.25">
      <c r="A8476" s="1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  <c r="P8476"/>
      <c r="Q8476"/>
      <c r="R8476"/>
      <c r="S8476"/>
    </row>
    <row r="8477" spans="1:19" x14ac:dyDescent="0.25">
      <c r="A8477" s="1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  <c r="P8477"/>
      <c r="Q8477"/>
      <c r="R8477"/>
      <c r="S8477"/>
    </row>
    <row r="8478" spans="1:19" x14ac:dyDescent="0.25">
      <c r="A8478" s="1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  <c r="P8478"/>
      <c r="Q8478"/>
      <c r="R8478"/>
      <c r="S8478"/>
    </row>
    <row r="8479" spans="1:19" x14ac:dyDescent="0.25">
      <c r="A8479" s="1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  <c r="P8479"/>
      <c r="Q8479"/>
      <c r="R8479"/>
      <c r="S8479"/>
    </row>
    <row r="8480" spans="1:19" x14ac:dyDescent="0.25">
      <c r="A8480" s="1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  <c r="P8480"/>
      <c r="Q8480"/>
      <c r="R8480"/>
      <c r="S8480"/>
    </row>
    <row r="8481" spans="1:19" x14ac:dyDescent="0.25">
      <c r="A8481" s="1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  <c r="P8481"/>
      <c r="Q8481"/>
      <c r="R8481"/>
      <c r="S8481"/>
    </row>
    <row r="8482" spans="1:19" x14ac:dyDescent="0.25">
      <c r="A8482" s="1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  <c r="P8482"/>
      <c r="Q8482"/>
      <c r="R8482"/>
      <c r="S8482"/>
    </row>
    <row r="8483" spans="1:19" x14ac:dyDescent="0.25">
      <c r="A8483" s="1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  <c r="P8483"/>
      <c r="Q8483"/>
      <c r="R8483"/>
      <c r="S8483"/>
    </row>
    <row r="8484" spans="1:19" x14ac:dyDescent="0.25">
      <c r="A8484" s="1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  <c r="P8484"/>
      <c r="Q8484"/>
      <c r="R8484"/>
      <c r="S8484"/>
    </row>
    <row r="8485" spans="1:19" x14ac:dyDescent="0.25">
      <c r="A8485" s="1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  <c r="P8485"/>
      <c r="Q8485"/>
      <c r="R8485"/>
      <c r="S8485"/>
    </row>
    <row r="8486" spans="1:19" x14ac:dyDescent="0.25">
      <c r="A8486" s="1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  <c r="P8486"/>
      <c r="Q8486"/>
      <c r="R8486"/>
      <c r="S8486"/>
    </row>
    <row r="8487" spans="1:19" x14ac:dyDescent="0.25">
      <c r="A8487" s="1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  <c r="P8487"/>
      <c r="Q8487"/>
      <c r="R8487"/>
      <c r="S8487"/>
    </row>
    <row r="8488" spans="1:19" x14ac:dyDescent="0.25">
      <c r="A8488" s="1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  <c r="P8488"/>
      <c r="Q8488"/>
      <c r="R8488"/>
      <c r="S8488"/>
    </row>
    <row r="8489" spans="1:19" x14ac:dyDescent="0.25">
      <c r="A8489" s="1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  <c r="P8489"/>
      <c r="Q8489"/>
      <c r="R8489"/>
      <c r="S8489"/>
    </row>
    <row r="8490" spans="1:19" x14ac:dyDescent="0.25">
      <c r="A8490" s="1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  <c r="P8490"/>
      <c r="Q8490"/>
      <c r="R8490"/>
      <c r="S8490"/>
    </row>
    <row r="8491" spans="1:19" x14ac:dyDescent="0.25">
      <c r="A8491" s="1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  <c r="P8491"/>
      <c r="Q8491"/>
      <c r="R8491"/>
      <c r="S8491"/>
    </row>
    <row r="8492" spans="1:19" x14ac:dyDescent="0.25">
      <c r="A8492" s="1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  <c r="P8492"/>
      <c r="Q8492"/>
      <c r="R8492"/>
      <c r="S8492"/>
    </row>
    <row r="8493" spans="1:19" x14ac:dyDescent="0.25">
      <c r="A8493" s="1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  <c r="P8493"/>
      <c r="Q8493"/>
      <c r="R8493"/>
      <c r="S8493"/>
    </row>
    <row r="8494" spans="1:19" x14ac:dyDescent="0.25">
      <c r="A8494" s="1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  <c r="P8494"/>
      <c r="Q8494"/>
      <c r="R8494"/>
      <c r="S8494"/>
    </row>
    <row r="8495" spans="1:19" x14ac:dyDescent="0.25">
      <c r="A8495" s="1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  <c r="P8495"/>
      <c r="Q8495"/>
      <c r="R8495"/>
      <c r="S8495"/>
    </row>
    <row r="8496" spans="1:19" x14ac:dyDescent="0.25">
      <c r="A8496" s="1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  <c r="P8496"/>
      <c r="Q8496"/>
      <c r="R8496"/>
      <c r="S8496"/>
    </row>
    <row r="8497" spans="1:19" x14ac:dyDescent="0.25">
      <c r="A8497" s="1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  <c r="P8497"/>
      <c r="Q8497"/>
      <c r="R8497"/>
      <c r="S8497"/>
    </row>
    <row r="8498" spans="1:19" x14ac:dyDescent="0.25">
      <c r="A8498" s="1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  <c r="P8498"/>
      <c r="Q8498"/>
      <c r="R8498"/>
      <c r="S8498"/>
    </row>
    <row r="8499" spans="1:19" x14ac:dyDescent="0.25">
      <c r="A8499" s="1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  <c r="P8499"/>
      <c r="Q8499"/>
      <c r="R8499"/>
      <c r="S8499"/>
    </row>
    <row r="8500" spans="1:19" x14ac:dyDescent="0.25">
      <c r="A8500" s="1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  <c r="P8500"/>
      <c r="Q8500"/>
      <c r="R8500"/>
      <c r="S8500"/>
    </row>
    <row r="8501" spans="1:19" x14ac:dyDescent="0.25">
      <c r="A8501" s="1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  <c r="P8501"/>
      <c r="Q8501"/>
      <c r="R8501"/>
      <c r="S8501"/>
    </row>
    <row r="8502" spans="1:19" x14ac:dyDescent="0.25">
      <c r="A8502" s="1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  <c r="P8502"/>
      <c r="Q8502"/>
      <c r="R8502"/>
      <c r="S8502"/>
    </row>
    <row r="8503" spans="1:19" x14ac:dyDescent="0.25">
      <c r="A8503" s="1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  <c r="P8503"/>
      <c r="Q8503"/>
      <c r="R8503"/>
      <c r="S8503"/>
    </row>
    <row r="8504" spans="1:19" x14ac:dyDescent="0.25">
      <c r="A8504" s="1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  <c r="P8504"/>
      <c r="Q8504"/>
      <c r="R8504"/>
      <c r="S8504"/>
    </row>
    <row r="8505" spans="1:19" x14ac:dyDescent="0.25">
      <c r="A8505" s="1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  <c r="P8505"/>
      <c r="Q8505"/>
      <c r="R8505"/>
      <c r="S8505"/>
    </row>
    <row r="8506" spans="1:19" x14ac:dyDescent="0.25">
      <c r="A8506" s="1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  <c r="P8506"/>
      <c r="Q8506"/>
      <c r="R8506"/>
      <c r="S8506"/>
    </row>
    <row r="8507" spans="1:19" x14ac:dyDescent="0.25">
      <c r="A8507" s="1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  <c r="P8507"/>
      <c r="Q8507"/>
      <c r="R8507"/>
      <c r="S8507"/>
    </row>
    <row r="8508" spans="1:19" x14ac:dyDescent="0.25">
      <c r="A8508" s="1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  <c r="P8508"/>
      <c r="Q8508"/>
      <c r="R8508"/>
      <c r="S8508"/>
    </row>
    <row r="8509" spans="1:19" x14ac:dyDescent="0.25">
      <c r="A8509" s="1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  <c r="P8509"/>
      <c r="Q8509"/>
      <c r="R8509"/>
      <c r="S8509"/>
    </row>
    <row r="8510" spans="1:19" x14ac:dyDescent="0.25">
      <c r="A8510" s="1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  <c r="P8510"/>
      <c r="Q8510"/>
      <c r="R8510"/>
      <c r="S8510"/>
    </row>
    <row r="8511" spans="1:19" x14ac:dyDescent="0.25">
      <c r="A8511" s="1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  <c r="P8511"/>
      <c r="Q8511"/>
      <c r="R8511"/>
      <c r="S8511"/>
    </row>
    <row r="8512" spans="1:19" x14ac:dyDescent="0.25">
      <c r="A8512" s="1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  <c r="P8512"/>
      <c r="Q8512"/>
      <c r="R8512"/>
      <c r="S8512"/>
    </row>
    <row r="8513" spans="1:19" x14ac:dyDescent="0.25">
      <c r="A8513" s="1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  <c r="P8513"/>
      <c r="Q8513"/>
      <c r="R8513"/>
      <c r="S8513"/>
    </row>
    <row r="8514" spans="1:19" x14ac:dyDescent="0.25">
      <c r="A8514" s="1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  <c r="P8514"/>
      <c r="Q8514"/>
      <c r="R8514"/>
      <c r="S8514"/>
    </row>
    <row r="8515" spans="1:19" x14ac:dyDescent="0.25">
      <c r="A8515" s="1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  <c r="P8515"/>
      <c r="Q8515"/>
      <c r="R8515"/>
      <c r="S8515"/>
    </row>
    <row r="8516" spans="1:19" x14ac:dyDescent="0.25">
      <c r="A8516" s="1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  <c r="P8516"/>
      <c r="Q8516"/>
      <c r="R8516"/>
      <c r="S8516"/>
    </row>
    <row r="8517" spans="1:19" x14ac:dyDescent="0.25">
      <c r="A8517" s="1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  <c r="P8517"/>
      <c r="Q8517"/>
      <c r="R8517"/>
      <c r="S8517"/>
    </row>
    <row r="8518" spans="1:19" x14ac:dyDescent="0.25">
      <c r="A8518" s="1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  <c r="P8518"/>
      <c r="Q8518"/>
      <c r="R8518"/>
      <c r="S8518"/>
    </row>
    <row r="8519" spans="1:19" x14ac:dyDescent="0.25">
      <c r="A8519" s="1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  <c r="P8519"/>
      <c r="Q8519"/>
      <c r="R8519"/>
      <c r="S8519"/>
    </row>
    <row r="8520" spans="1:19" x14ac:dyDescent="0.25">
      <c r="A8520" s="1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  <c r="P8520"/>
      <c r="Q8520"/>
      <c r="R8520"/>
      <c r="S8520"/>
    </row>
    <row r="8521" spans="1:19" x14ac:dyDescent="0.25">
      <c r="A8521" s="1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  <c r="P8521"/>
      <c r="Q8521"/>
      <c r="R8521"/>
      <c r="S8521"/>
    </row>
    <row r="8522" spans="1:19" x14ac:dyDescent="0.25">
      <c r="A8522" s="1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  <c r="P8522"/>
      <c r="Q8522"/>
      <c r="R8522"/>
      <c r="S8522"/>
    </row>
    <row r="8523" spans="1:19" x14ac:dyDescent="0.25">
      <c r="A8523" s="1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  <c r="P8523"/>
      <c r="Q8523"/>
      <c r="R8523"/>
      <c r="S8523"/>
    </row>
    <row r="8524" spans="1:19" x14ac:dyDescent="0.25">
      <c r="A8524" s="1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  <c r="P8524"/>
      <c r="Q8524"/>
      <c r="R8524"/>
      <c r="S8524"/>
    </row>
    <row r="8525" spans="1:19" x14ac:dyDescent="0.25">
      <c r="A8525" s="1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  <c r="P8525"/>
      <c r="Q8525"/>
      <c r="R8525"/>
      <c r="S8525"/>
    </row>
    <row r="8526" spans="1:19" x14ac:dyDescent="0.25">
      <c r="A8526" s="1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  <c r="P8526"/>
      <c r="Q8526"/>
      <c r="R8526"/>
      <c r="S8526"/>
    </row>
    <row r="8527" spans="1:19" x14ac:dyDescent="0.25">
      <c r="A8527" s="1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  <c r="P8527"/>
      <c r="Q8527"/>
      <c r="R8527"/>
      <c r="S8527"/>
    </row>
    <row r="8528" spans="1:19" x14ac:dyDescent="0.25">
      <c r="A8528" s="1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  <c r="P8528"/>
      <c r="Q8528"/>
      <c r="R8528"/>
      <c r="S8528"/>
    </row>
    <row r="8529" spans="1:19" x14ac:dyDescent="0.25">
      <c r="A8529" s="1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  <c r="P8529"/>
      <c r="Q8529"/>
      <c r="R8529"/>
      <c r="S8529"/>
    </row>
    <row r="8530" spans="1:19" x14ac:dyDescent="0.25">
      <c r="A8530" s="1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  <c r="P8530"/>
      <c r="Q8530"/>
      <c r="R8530"/>
      <c r="S8530"/>
    </row>
    <row r="8531" spans="1:19" x14ac:dyDescent="0.25">
      <c r="A8531" s="1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  <c r="P8531"/>
      <c r="Q8531"/>
      <c r="R8531"/>
      <c r="S8531"/>
    </row>
    <row r="8532" spans="1:19" x14ac:dyDescent="0.25">
      <c r="A8532" s="1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  <c r="P8532"/>
      <c r="Q8532"/>
      <c r="R8532"/>
      <c r="S8532"/>
    </row>
    <row r="8533" spans="1:19" x14ac:dyDescent="0.25">
      <c r="A8533" s="1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  <c r="P8533"/>
      <c r="Q8533"/>
      <c r="R8533"/>
      <c r="S8533"/>
    </row>
    <row r="8534" spans="1:19" x14ac:dyDescent="0.25">
      <c r="A8534" s="1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  <c r="P8534"/>
      <c r="Q8534"/>
      <c r="R8534"/>
      <c r="S8534"/>
    </row>
    <row r="8535" spans="1:19" x14ac:dyDescent="0.25">
      <c r="A8535" s="1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  <c r="P8535"/>
      <c r="Q8535"/>
      <c r="R8535"/>
      <c r="S8535"/>
    </row>
    <row r="8536" spans="1:19" x14ac:dyDescent="0.25">
      <c r="A8536" s="1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  <c r="P8536"/>
      <c r="Q8536"/>
      <c r="R8536"/>
      <c r="S8536"/>
    </row>
    <row r="8537" spans="1:19" x14ac:dyDescent="0.25">
      <c r="A8537" s="1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  <c r="P8537"/>
      <c r="Q8537"/>
      <c r="R8537"/>
      <c r="S8537"/>
    </row>
    <row r="8538" spans="1:19" x14ac:dyDescent="0.25">
      <c r="A8538" s="1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  <c r="P8538"/>
      <c r="Q8538"/>
      <c r="R8538"/>
      <c r="S8538"/>
    </row>
    <row r="8539" spans="1:19" x14ac:dyDescent="0.25">
      <c r="A8539" s="1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  <c r="P8539"/>
      <c r="Q8539"/>
      <c r="R8539"/>
      <c r="S8539"/>
    </row>
    <row r="8540" spans="1:19" x14ac:dyDescent="0.25">
      <c r="A8540" s="1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  <c r="P8540"/>
      <c r="Q8540"/>
      <c r="R8540"/>
      <c r="S8540"/>
    </row>
    <row r="8541" spans="1:19" x14ac:dyDescent="0.25">
      <c r="A8541" s="1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  <c r="P8541"/>
      <c r="Q8541"/>
      <c r="R8541"/>
      <c r="S8541"/>
    </row>
    <row r="8542" spans="1:19" x14ac:dyDescent="0.25">
      <c r="A8542" s="1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  <c r="P8542"/>
      <c r="Q8542"/>
      <c r="R8542"/>
      <c r="S8542"/>
    </row>
    <row r="8543" spans="1:19" x14ac:dyDescent="0.25">
      <c r="A8543" s="1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  <c r="P8543"/>
      <c r="Q8543"/>
      <c r="R8543"/>
      <c r="S8543"/>
    </row>
    <row r="8544" spans="1:19" x14ac:dyDescent="0.25">
      <c r="A8544" s="1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  <c r="P8544"/>
      <c r="Q8544"/>
      <c r="R8544"/>
      <c r="S8544"/>
    </row>
    <row r="8545" spans="1:19" x14ac:dyDescent="0.25">
      <c r="A8545" s="1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  <c r="P8545"/>
      <c r="Q8545"/>
      <c r="R8545"/>
      <c r="S8545"/>
    </row>
    <row r="8546" spans="1:19" x14ac:dyDescent="0.25">
      <c r="A8546" s="1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  <c r="P8546"/>
      <c r="Q8546"/>
      <c r="R8546"/>
      <c r="S8546"/>
    </row>
    <row r="8547" spans="1:19" x14ac:dyDescent="0.25">
      <c r="A8547" s="1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  <c r="P8547"/>
      <c r="Q8547"/>
      <c r="R8547"/>
      <c r="S8547"/>
    </row>
    <row r="8548" spans="1:19" x14ac:dyDescent="0.25">
      <c r="A8548" s="1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  <c r="P8548"/>
      <c r="Q8548"/>
      <c r="R8548"/>
      <c r="S8548"/>
    </row>
    <row r="8549" spans="1:19" x14ac:dyDescent="0.25">
      <c r="A8549" s="1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  <c r="P8549"/>
      <c r="Q8549"/>
      <c r="R8549"/>
      <c r="S8549"/>
    </row>
    <row r="8550" spans="1:19" x14ac:dyDescent="0.25">
      <c r="A8550" s="1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  <c r="P8550"/>
      <c r="Q8550"/>
      <c r="R8550"/>
      <c r="S8550"/>
    </row>
    <row r="8551" spans="1:19" x14ac:dyDescent="0.25">
      <c r="A8551" s="1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  <c r="P8551"/>
      <c r="Q8551"/>
      <c r="R8551"/>
      <c r="S8551"/>
    </row>
    <row r="8552" spans="1:19" x14ac:dyDescent="0.25">
      <c r="A8552" s="1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  <c r="P8552"/>
      <c r="Q8552"/>
      <c r="R8552"/>
      <c r="S8552"/>
    </row>
    <row r="8553" spans="1:19" x14ac:dyDescent="0.25">
      <c r="A8553" s="1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  <c r="P8553"/>
      <c r="Q8553"/>
      <c r="R8553"/>
      <c r="S8553"/>
    </row>
    <row r="8554" spans="1:19" x14ac:dyDescent="0.25">
      <c r="A8554" s="1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  <c r="P8554"/>
      <c r="Q8554"/>
      <c r="R8554"/>
      <c r="S8554"/>
    </row>
    <row r="8555" spans="1:19" x14ac:dyDescent="0.25">
      <c r="A8555" s="1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  <c r="P8555"/>
      <c r="Q8555"/>
      <c r="R8555"/>
      <c r="S8555"/>
    </row>
    <row r="8556" spans="1:19" x14ac:dyDescent="0.25">
      <c r="A8556" s="1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  <c r="P8556"/>
      <c r="Q8556"/>
      <c r="R8556"/>
      <c r="S8556"/>
    </row>
    <row r="8557" spans="1:19" x14ac:dyDescent="0.25">
      <c r="A8557" s="1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  <c r="P8557"/>
      <c r="Q8557"/>
      <c r="R8557"/>
      <c r="S8557"/>
    </row>
    <row r="8558" spans="1:19" x14ac:dyDescent="0.25">
      <c r="A8558" s="1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  <c r="P8558"/>
      <c r="Q8558"/>
      <c r="R8558"/>
      <c r="S8558"/>
    </row>
    <row r="8559" spans="1:19" x14ac:dyDescent="0.25">
      <c r="A8559" s="1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  <c r="P8559"/>
      <c r="Q8559"/>
      <c r="R8559"/>
      <c r="S8559"/>
    </row>
    <row r="8560" spans="1:19" x14ac:dyDescent="0.25">
      <c r="A8560" s="1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  <c r="P8560"/>
      <c r="Q8560"/>
      <c r="R8560"/>
      <c r="S8560"/>
    </row>
    <row r="8561" spans="1:19" x14ac:dyDescent="0.25">
      <c r="A8561" s="1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  <c r="P8561"/>
      <c r="Q8561"/>
      <c r="R8561"/>
      <c r="S8561"/>
    </row>
    <row r="8562" spans="1:19" x14ac:dyDescent="0.25">
      <c r="A8562" s="1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  <c r="P8562"/>
      <c r="Q8562"/>
      <c r="R8562"/>
      <c r="S8562"/>
    </row>
    <row r="8563" spans="1:19" x14ac:dyDescent="0.25">
      <c r="A8563" s="1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  <c r="P8563"/>
      <c r="Q8563"/>
      <c r="R8563"/>
      <c r="S8563"/>
    </row>
    <row r="8564" spans="1:19" x14ac:dyDescent="0.25">
      <c r="A8564" s="1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  <c r="P8564"/>
      <c r="Q8564"/>
      <c r="R8564"/>
      <c r="S8564"/>
    </row>
    <row r="8565" spans="1:19" x14ac:dyDescent="0.25">
      <c r="A8565" s="1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  <c r="P8565"/>
      <c r="Q8565"/>
      <c r="R8565"/>
      <c r="S8565"/>
    </row>
    <row r="8566" spans="1:19" x14ac:dyDescent="0.25">
      <c r="A8566" s="1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  <c r="P8566"/>
      <c r="Q8566"/>
      <c r="R8566"/>
      <c r="S8566"/>
    </row>
    <row r="8567" spans="1:19" x14ac:dyDescent="0.25">
      <c r="A8567" s="1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  <c r="P8567"/>
      <c r="Q8567"/>
      <c r="R8567"/>
      <c r="S8567"/>
    </row>
    <row r="8568" spans="1:19" x14ac:dyDescent="0.25">
      <c r="A8568" s="1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  <c r="P8568"/>
      <c r="Q8568"/>
      <c r="R8568"/>
      <c r="S8568"/>
    </row>
    <row r="8569" spans="1:19" x14ac:dyDescent="0.25">
      <c r="A8569" s="1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  <c r="P8569"/>
      <c r="Q8569"/>
      <c r="R8569"/>
      <c r="S8569"/>
    </row>
    <row r="8570" spans="1:19" x14ac:dyDescent="0.25">
      <c r="A8570" s="1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  <c r="P8570"/>
      <c r="Q8570"/>
      <c r="R8570"/>
      <c r="S8570"/>
    </row>
    <row r="8571" spans="1:19" x14ac:dyDescent="0.25">
      <c r="A8571" s="1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  <c r="P8571"/>
      <c r="Q8571"/>
      <c r="R8571"/>
      <c r="S8571"/>
    </row>
    <row r="8572" spans="1:19" x14ac:dyDescent="0.25">
      <c r="A8572" s="1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  <c r="P8572"/>
      <c r="Q8572"/>
      <c r="R8572"/>
      <c r="S8572"/>
    </row>
    <row r="8573" spans="1:19" x14ac:dyDescent="0.25">
      <c r="A8573" s="1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  <c r="P8573"/>
      <c r="Q8573"/>
      <c r="R8573"/>
      <c r="S8573"/>
    </row>
    <row r="8574" spans="1:19" x14ac:dyDescent="0.25">
      <c r="A8574" s="1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  <c r="P8574"/>
      <c r="Q8574"/>
      <c r="R8574"/>
      <c r="S8574"/>
    </row>
    <row r="8575" spans="1:19" x14ac:dyDescent="0.25">
      <c r="A8575" s="1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  <c r="P8575"/>
      <c r="Q8575"/>
      <c r="R8575"/>
      <c r="S8575"/>
    </row>
    <row r="8576" spans="1:19" x14ac:dyDescent="0.25">
      <c r="A8576" s="1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  <c r="P8576"/>
      <c r="Q8576"/>
      <c r="R8576"/>
      <c r="S8576"/>
    </row>
    <row r="8577" spans="1:19" x14ac:dyDescent="0.25">
      <c r="A8577" s="1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  <c r="P8577"/>
      <c r="Q8577"/>
      <c r="R8577"/>
      <c r="S8577"/>
    </row>
    <row r="8578" spans="1:19" x14ac:dyDescent="0.25">
      <c r="A8578" s="1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  <c r="P8578"/>
      <c r="Q8578"/>
      <c r="R8578"/>
      <c r="S8578"/>
    </row>
    <row r="8579" spans="1:19" x14ac:dyDescent="0.25">
      <c r="A8579" s="1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  <c r="P8579"/>
      <c r="Q8579"/>
      <c r="R8579"/>
      <c r="S8579"/>
    </row>
    <row r="8580" spans="1:19" x14ac:dyDescent="0.25">
      <c r="A8580" s="1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  <c r="P8580"/>
      <c r="Q8580"/>
      <c r="R8580"/>
      <c r="S8580"/>
    </row>
    <row r="8581" spans="1:19" x14ac:dyDescent="0.25">
      <c r="A8581" s="1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  <c r="P8581"/>
      <c r="Q8581"/>
      <c r="R8581"/>
      <c r="S8581"/>
    </row>
    <row r="8582" spans="1:19" x14ac:dyDescent="0.25">
      <c r="A8582" s="1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  <c r="P8582"/>
      <c r="Q8582"/>
      <c r="R8582"/>
      <c r="S8582"/>
    </row>
    <row r="8583" spans="1:19" x14ac:dyDescent="0.25">
      <c r="A8583" s="1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  <c r="P8583"/>
      <c r="Q8583"/>
      <c r="R8583"/>
      <c r="S8583"/>
    </row>
    <row r="8584" spans="1:19" x14ac:dyDescent="0.25">
      <c r="A8584" s="1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  <c r="P8584"/>
      <c r="Q8584"/>
      <c r="R8584"/>
      <c r="S8584"/>
    </row>
    <row r="8585" spans="1:19" x14ac:dyDescent="0.25">
      <c r="A8585" s="1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  <c r="P8585"/>
      <c r="Q8585"/>
      <c r="R8585"/>
      <c r="S8585"/>
    </row>
    <row r="8586" spans="1:19" x14ac:dyDescent="0.25">
      <c r="A8586" s="1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  <c r="P8586"/>
      <c r="Q8586"/>
      <c r="R8586"/>
      <c r="S8586"/>
    </row>
    <row r="8587" spans="1:19" x14ac:dyDescent="0.25">
      <c r="A8587" s="1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  <c r="P8587"/>
      <c r="Q8587"/>
      <c r="R8587"/>
      <c r="S8587"/>
    </row>
    <row r="8588" spans="1:19" x14ac:dyDescent="0.25">
      <c r="A8588" s="1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  <c r="P8588"/>
      <c r="Q8588"/>
      <c r="R8588"/>
      <c r="S8588"/>
    </row>
    <row r="8589" spans="1:19" x14ac:dyDescent="0.25">
      <c r="A8589" s="1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  <c r="P8589"/>
      <c r="Q8589"/>
      <c r="R8589"/>
      <c r="S8589"/>
    </row>
    <row r="8590" spans="1:19" x14ac:dyDescent="0.25">
      <c r="A8590" s="1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  <c r="P8590"/>
      <c r="Q8590"/>
      <c r="R8590"/>
      <c r="S8590"/>
    </row>
    <row r="8591" spans="1:19" x14ac:dyDescent="0.25">
      <c r="A8591" s="1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  <c r="P8591"/>
      <c r="Q8591"/>
      <c r="R8591"/>
      <c r="S8591"/>
    </row>
    <row r="8592" spans="1:19" x14ac:dyDescent="0.25">
      <c r="A8592" s="1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  <c r="P8592"/>
      <c r="Q8592"/>
      <c r="R8592"/>
      <c r="S8592"/>
    </row>
    <row r="8593" spans="1:19" x14ac:dyDescent="0.25">
      <c r="A8593" s="1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  <c r="P8593"/>
      <c r="Q8593"/>
      <c r="R8593"/>
      <c r="S8593"/>
    </row>
    <row r="8594" spans="1:19" x14ac:dyDescent="0.25">
      <c r="A8594" s="1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  <c r="P8594"/>
      <c r="Q8594"/>
      <c r="R8594"/>
      <c r="S8594"/>
    </row>
    <row r="8595" spans="1:19" x14ac:dyDescent="0.25">
      <c r="A8595" s="1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  <c r="P8595"/>
      <c r="Q8595"/>
      <c r="R8595"/>
      <c r="S8595"/>
    </row>
    <row r="8596" spans="1:19" x14ac:dyDescent="0.25">
      <c r="A8596" s="1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  <c r="P8596"/>
      <c r="Q8596"/>
      <c r="R8596"/>
      <c r="S8596"/>
    </row>
    <row r="8597" spans="1:19" x14ac:dyDescent="0.25">
      <c r="A8597" s="1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  <c r="P8597"/>
      <c r="Q8597"/>
      <c r="R8597"/>
      <c r="S8597"/>
    </row>
    <row r="8598" spans="1:19" x14ac:dyDescent="0.25">
      <c r="A8598" s="1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  <c r="P8598"/>
      <c r="Q8598"/>
      <c r="R8598"/>
      <c r="S8598"/>
    </row>
    <row r="8599" spans="1:19" x14ac:dyDescent="0.25">
      <c r="A8599" s="1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  <c r="P8599"/>
      <c r="Q8599"/>
      <c r="R8599"/>
      <c r="S8599"/>
    </row>
    <row r="8600" spans="1:19" x14ac:dyDescent="0.25">
      <c r="A8600" s="1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  <c r="P8600"/>
      <c r="Q8600"/>
      <c r="R8600"/>
      <c r="S8600"/>
    </row>
    <row r="8601" spans="1:19" x14ac:dyDescent="0.25">
      <c r="A8601" s="1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  <c r="P8601"/>
      <c r="Q8601"/>
      <c r="R8601"/>
      <c r="S8601"/>
    </row>
    <row r="8602" spans="1:19" x14ac:dyDescent="0.25">
      <c r="A8602" s="1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  <c r="P8602"/>
      <c r="Q8602"/>
      <c r="R8602"/>
      <c r="S8602"/>
    </row>
    <row r="8603" spans="1:19" x14ac:dyDescent="0.25">
      <c r="A8603" s="1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  <c r="P8603"/>
      <c r="Q8603"/>
      <c r="R8603"/>
      <c r="S8603"/>
    </row>
    <row r="8604" spans="1:19" x14ac:dyDescent="0.25">
      <c r="A8604" s="1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  <c r="P8604"/>
      <c r="Q8604"/>
      <c r="R8604"/>
      <c r="S8604"/>
    </row>
    <row r="8605" spans="1:19" x14ac:dyDescent="0.25">
      <c r="A8605" s="1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  <c r="P8605"/>
      <c r="Q8605"/>
      <c r="R8605"/>
      <c r="S8605"/>
    </row>
    <row r="8606" spans="1:19" x14ac:dyDescent="0.25">
      <c r="A8606" s="1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  <c r="P8606"/>
      <c r="Q8606"/>
      <c r="R8606"/>
      <c r="S8606"/>
    </row>
    <row r="8607" spans="1:19" x14ac:dyDescent="0.25">
      <c r="A8607" s="1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  <c r="P8607"/>
      <c r="Q8607"/>
      <c r="R8607"/>
      <c r="S8607"/>
    </row>
    <row r="8608" spans="1:19" x14ac:dyDescent="0.25">
      <c r="A8608" s="1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  <c r="P8608"/>
      <c r="Q8608"/>
      <c r="R8608"/>
      <c r="S8608"/>
    </row>
    <row r="8609" spans="1:19" x14ac:dyDescent="0.25">
      <c r="A8609" s="1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  <c r="P8609"/>
      <c r="Q8609"/>
      <c r="R8609"/>
      <c r="S8609"/>
    </row>
    <row r="8610" spans="1:19" x14ac:dyDescent="0.25">
      <c r="A8610" s="1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  <c r="P8610"/>
      <c r="Q8610"/>
      <c r="R8610"/>
      <c r="S8610"/>
    </row>
    <row r="8611" spans="1:19" x14ac:dyDescent="0.25">
      <c r="A8611" s="1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  <c r="P8611"/>
      <c r="Q8611"/>
      <c r="R8611"/>
      <c r="S8611"/>
    </row>
    <row r="8612" spans="1:19" x14ac:dyDescent="0.25">
      <c r="A8612" s="1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  <c r="P8612"/>
      <c r="Q8612"/>
      <c r="R8612"/>
      <c r="S8612"/>
    </row>
    <row r="8613" spans="1:19" x14ac:dyDescent="0.25">
      <c r="A8613" s="1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  <c r="P8613"/>
      <c r="Q8613"/>
      <c r="R8613"/>
      <c r="S8613"/>
    </row>
    <row r="8614" spans="1:19" x14ac:dyDescent="0.25">
      <c r="A8614" s="1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  <c r="P8614"/>
      <c r="Q8614"/>
      <c r="R8614"/>
      <c r="S8614"/>
    </row>
    <row r="8615" spans="1:19" x14ac:dyDescent="0.25">
      <c r="A8615" s="1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  <c r="P8615"/>
      <c r="Q8615"/>
      <c r="R8615"/>
      <c r="S8615"/>
    </row>
    <row r="8616" spans="1:19" x14ac:dyDescent="0.25">
      <c r="A8616" s="1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  <c r="P8616"/>
      <c r="Q8616"/>
      <c r="R8616"/>
      <c r="S8616"/>
    </row>
    <row r="8617" spans="1:19" x14ac:dyDescent="0.25">
      <c r="A8617" s="1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  <c r="P8617"/>
      <c r="Q8617"/>
      <c r="R8617"/>
      <c r="S8617"/>
    </row>
    <row r="8618" spans="1:19" x14ac:dyDescent="0.25">
      <c r="A8618" s="1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  <c r="P8618"/>
      <c r="Q8618"/>
      <c r="R8618"/>
      <c r="S8618"/>
    </row>
    <row r="8619" spans="1:19" x14ac:dyDescent="0.25">
      <c r="A8619" s="1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  <c r="P8619"/>
      <c r="Q8619"/>
      <c r="R8619"/>
      <c r="S8619"/>
    </row>
    <row r="8620" spans="1:19" x14ac:dyDescent="0.25">
      <c r="A8620" s="1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  <c r="P8620"/>
      <c r="Q8620"/>
      <c r="R8620"/>
      <c r="S8620"/>
    </row>
    <row r="8621" spans="1:19" x14ac:dyDescent="0.25">
      <c r="A8621" s="1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  <c r="P8621"/>
      <c r="Q8621"/>
      <c r="R8621"/>
      <c r="S8621"/>
    </row>
    <row r="8622" spans="1:19" x14ac:dyDescent="0.25">
      <c r="A8622" s="1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  <c r="P8622"/>
      <c r="Q8622"/>
      <c r="R8622"/>
      <c r="S8622"/>
    </row>
    <row r="8623" spans="1:19" x14ac:dyDescent="0.25">
      <c r="A8623" s="1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  <c r="P8623"/>
      <c r="Q8623"/>
      <c r="R8623"/>
      <c r="S8623"/>
    </row>
    <row r="8624" spans="1:19" x14ac:dyDescent="0.25">
      <c r="A8624" s="1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  <c r="P8624"/>
      <c r="Q8624"/>
      <c r="R8624"/>
      <c r="S8624"/>
    </row>
    <row r="8625" spans="1:19" x14ac:dyDescent="0.25">
      <c r="A8625" s="1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  <c r="P8625"/>
      <c r="Q8625"/>
      <c r="R8625"/>
      <c r="S8625"/>
    </row>
    <row r="8626" spans="1:19" x14ac:dyDescent="0.25">
      <c r="A8626" s="1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  <c r="P8626"/>
      <c r="Q8626"/>
      <c r="R8626"/>
      <c r="S8626"/>
    </row>
    <row r="8627" spans="1:19" x14ac:dyDescent="0.25">
      <c r="A8627" s="1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  <c r="P8627"/>
      <c r="Q8627"/>
      <c r="R8627"/>
      <c r="S8627"/>
    </row>
    <row r="8628" spans="1:19" x14ac:dyDescent="0.25">
      <c r="A8628" s="1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  <c r="P8628"/>
      <c r="Q8628"/>
      <c r="R8628"/>
      <c r="S8628"/>
    </row>
    <row r="8629" spans="1:19" x14ac:dyDescent="0.25">
      <c r="A8629" s="1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  <c r="P8629"/>
      <c r="Q8629"/>
      <c r="R8629"/>
      <c r="S8629"/>
    </row>
    <row r="8630" spans="1:19" x14ac:dyDescent="0.25">
      <c r="A8630" s="1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  <c r="P8630"/>
      <c r="Q8630"/>
      <c r="R8630"/>
      <c r="S8630"/>
    </row>
    <row r="8631" spans="1:19" x14ac:dyDescent="0.25">
      <c r="A8631" s="1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  <c r="P8631"/>
      <c r="Q8631"/>
      <c r="R8631"/>
      <c r="S8631"/>
    </row>
    <row r="8632" spans="1:19" x14ac:dyDescent="0.25">
      <c r="A8632" s="1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  <c r="P8632"/>
      <c r="Q8632"/>
      <c r="R8632"/>
      <c r="S8632"/>
    </row>
    <row r="8633" spans="1:19" x14ac:dyDescent="0.25">
      <c r="A8633" s="1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  <c r="P8633"/>
      <c r="Q8633"/>
      <c r="R8633"/>
      <c r="S8633"/>
    </row>
    <row r="8634" spans="1:19" x14ac:dyDescent="0.25">
      <c r="A8634" s="1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  <c r="P8634"/>
      <c r="Q8634"/>
      <c r="R8634"/>
      <c r="S8634"/>
    </row>
    <row r="8635" spans="1:19" x14ac:dyDescent="0.25">
      <c r="A8635" s="1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  <c r="P8635"/>
      <c r="Q8635"/>
      <c r="R8635"/>
      <c r="S8635"/>
    </row>
    <row r="8636" spans="1:19" x14ac:dyDescent="0.25">
      <c r="A8636" s="1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  <c r="P8636"/>
      <c r="Q8636"/>
      <c r="R8636"/>
      <c r="S8636"/>
    </row>
    <row r="8637" spans="1:19" x14ac:dyDescent="0.25">
      <c r="A8637" s="1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  <c r="P8637"/>
      <c r="Q8637"/>
      <c r="R8637"/>
      <c r="S8637"/>
    </row>
    <row r="8638" spans="1:19" x14ac:dyDescent="0.25">
      <c r="A8638" s="1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  <c r="P8638"/>
      <c r="Q8638"/>
      <c r="R8638"/>
      <c r="S8638"/>
    </row>
    <row r="8639" spans="1:19" x14ac:dyDescent="0.25">
      <c r="A8639" s="1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  <c r="P8639"/>
      <c r="Q8639"/>
      <c r="R8639"/>
      <c r="S8639"/>
    </row>
    <row r="8640" spans="1:19" x14ac:dyDescent="0.25">
      <c r="A8640" s="1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  <c r="P8640"/>
      <c r="Q8640"/>
      <c r="R8640"/>
      <c r="S8640"/>
    </row>
    <row r="8641" spans="1:19" x14ac:dyDescent="0.25">
      <c r="A8641" s="1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  <c r="P8641"/>
      <c r="Q8641"/>
      <c r="R8641"/>
      <c r="S8641"/>
    </row>
    <row r="8642" spans="1:19" x14ac:dyDescent="0.25">
      <c r="A8642" s="1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  <c r="P8642"/>
      <c r="Q8642"/>
      <c r="R8642"/>
      <c r="S8642"/>
    </row>
    <row r="8643" spans="1:19" x14ac:dyDescent="0.25">
      <c r="A8643" s="1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  <c r="P8643"/>
      <c r="Q8643"/>
      <c r="R8643"/>
      <c r="S8643"/>
    </row>
    <row r="8644" spans="1:19" x14ac:dyDescent="0.25">
      <c r="A8644" s="1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  <c r="P8644"/>
      <c r="Q8644"/>
      <c r="R8644"/>
      <c r="S8644"/>
    </row>
    <row r="8645" spans="1:19" x14ac:dyDescent="0.25">
      <c r="A8645" s="1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  <c r="P8645"/>
      <c r="Q8645"/>
      <c r="R8645"/>
      <c r="S8645"/>
    </row>
    <row r="8646" spans="1:19" x14ac:dyDescent="0.25">
      <c r="A8646" s="1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  <c r="P8646"/>
      <c r="Q8646"/>
      <c r="R8646"/>
      <c r="S8646"/>
    </row>
    <row r="8647" spans="1:19" x14ac:dyDescent="0.25">
      <c r="A8647" s="1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  <c r="P8647"/>
      <c r="Q8647"/>
      <c r="R8647"/>
      <c r="S8647"/>
    </row>
    <row r="8648" spans="1:19" x14ac:dyDescent="0.25">
      <c r="A8648" s="1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  <c r="P8648"/>
      <c r="Q8648"/>
      <c r="R8648"/>
      <c r="S8648"/>
    </row>
    <row r="8649" spans="1:19" x14ac:dyDescent="0.25">
      <c r="A8649" s="1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  <c r="P8649"/>
      <c r="Q8649"/>
      <c r="R8649"/>
      <c r="S8649"/>
    </row>
    <row r="8650" spans="1:19" x14ac:dyDescent="0.25">
      <c r="A8650" s="1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  <c r="P8650"/>
      <c r="Q8650"/>
      <c r="R8650"/>
      <c r="S8650"/>
    </row>
    <row r="8651" spans="1:19" x14ac:dyDescent="0.25">
      <c r="A8651" s="1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  <c r="P8651"/>
      <c r="Q8651"/>
      <c r="R8651"/>
      <c r="S8651"/>
    </row>
    <row r="8652" spans="1:19" x14ac:dyDescent="0.25">
      <c r="A8652" s="1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  <c r="P8652"/>
      <c r="Q8652"/>
      <c r="R8652"/>
      <c r="S8652"/>
    </row>
    <row r="8653" spans="1:19" x14ac:dyDescent="0.25">
      <c r="A8653" s="1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  <c r="P8653"/>
      <c r="Q8653"/>
      <c r="R8653"/>
      <c r="S8653"/>
    </row>
    <row r="8654" spans="1:19" x14ac:dyDescent="0.25">
      <c r="A8654" s="1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  <c r="P8654"/>
      <c r="Q8654"/>
      <c r="R8654"/>
      <c r="S8654"/>
    </row>
    <row r="8655" spans="1:19" x14ac:dyDescent="0.25">
      <c r="A8655" s="1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  <c r="P8655"/>
      <c r="Q8655"/>
      <c r="R8655"/>
      <c r="S8655"/>
    </row>
    <row r="8656" spans="1:19" x14ac:dyDescent="0.25">
      <c r="A8656" s="1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  <c r="P8656"/>
      <c r="Q8656"/>
      <c r="R8656"/>
      <c r="S8656"/>
    </row>
    <row r="8657" spans="1:19" x14ac:dyDescent="0.25">
      <c r="A8657" s="1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  <c r="P8657"/>
      <c r="Q8657"/>
      <c r="R8657"/>
      <c r="S8657"/>
    </row>
    <row r="8658" spans="1:19" x14ac:dyDescent="0.25">
      <c r="A8658" s="1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  <c r="P8658"/>
      <c r="Q8658"/>
      <c r="R8658"/>
      <c r="S8658"/>
    </row>
    <row r="8659" spans="1:19" x14ac:dyDescent="0.25">
      <c r="A8659" s="1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  <c r="P8659"/>
      <c r="Q8659"/>
      <c r="R8659"/>
      <c r="S8659"/>
    </row>
    <row r="8660" spans="1:19" x14ac:dyDescent="0.25">
      <c r="A8660" s="1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  <c r="P8660"/>
      <c r="Q8660"/>
      <c r="R8660"/>
      <c r="S8660"/>
    </row>
    <row r="8661" spans="1:19" x14ac:dyDescent="0.25">
      <c r="A8661" s="1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  <c r="P8661"/>
      <c r="Q8661"/>
      <c r="R8661"/>
      <c r="S8661"/>
    </row>
    <row r="8662" spans="1:19" x14ac:dyDescent="0.25">
      <c r="A8662" s="1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  <c r="P8662"/>
      <c r="Q8662"/>
      <c r="R8662"/>
      <c r="S8662"/>
    </row>
    <row r="8663" spans="1:19" x14ac:dyDescent="0.25">
      <c r="A8663" s="1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  <c r="P8663"/>
      <c r="Q8663"/>
      <c r="R8663"/>
      <c r="S8663"/>
    </row>
    <row r="8664" spans="1:19" x14ac:dyDescent="0.25">
      <c r="A8664" s="1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  <c r="P8664"/>
      <c r="Q8664"/>
      <c r="R8664"/>
      <c r="S8664"/>
    </row>
    <row r="8665" spans="1:19" x14ac:dyDescent="0.25">
      <c r="A8665" s="1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  <c r="P8665"/>
      <c r="Q8665"/>
      <c r="R8665"/>
      <c r="S8665"/>
    </row>
    <row r="8666" spans="1:19" x14ac:dyDescent="0.25">
      <c r="A8666" s="1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  <c r="P8666"/>
      <c r="Q8666"/>
      <c r="R8666"/>
      <c r="S8666"/>
    </row>
    <row r="8667" spans="1:19" x14ac:dyDescent="0.25">
      <c r="A8667" s="1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  <c r="P8667"/>
      <c r="Q8667"/>
      <c r="R8667"/>
      <c r="S8667"/>
    </row>
    <row r="8668" spans="1:19" x14ac:dyDescent="0.25">
      <c r="A8668" s="1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  <c r="P8668"/>
      <c r="Q8668"/>
      <c r="R8668"/>
      <c r="S8668"/>
    </row>
    <row r="8669" spans="1:19" x14ac:dyDescent="0.25">
      <c r="A8669" s="1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  <c r="P8669"/>
      <c r="Q8669"/>
      <c r="R8669"/>
      <c r="S8669"/>
    </row>
    <row r="8670" spans="1:19" x14ac:dyDescent="0.25">
      <c r="A8670" s="1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  <c r="P8670"/>
      <c r="Q8670"/>
      <c r="R8670"/>
      <c r="S8670"/>
    </row>
    <row r="8671" spans="1:19" x14ac:dyDescent="0.25">
      <c r="A8671" s="1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  <c r="P8671"/>
      <c r="Q8671"/>
      <c r="R8671"/>
      <c r="S8671"/>
    </row>
    <row r="8672" spans="1:19" x14ac:dyDescent="0.25">
      <c r="A8672" s="1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  <c r="P8672"/>
      <c r="Q8672"/>
      <c r="R8672"/>
      <c r="S8672"/>
    </row>
    <row r="8673" spans="1:19" x14ac:dyDescent="0.25">
      <c r="A8673" s="1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  <c r="P8673"/>
      <c r="Q8673"/>
      <c r="R8673"/>
      <c r="S8673"/>
    </row>
    <row r="8674" spans="1:19" x14ac:dyDescent="0.25">
      <c r="A8674" s="1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  <c r="P8674"/>
      <c r="Q8674"/>
      <c r="R8674"/>
      <c r="S8674"/>
    </row>
    <row r="8675" spans="1:19" x14ac:dyDescent="0.25">
      <c r="A8675" s="1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  <c r="P8675"/>
      <c r="Q8675"/>
      <c r="R8675"/>
      <c r="S8675"/>
    </row>
    <row r="8676" spans="1:19" x14ac:dyDescent="0.25">
      <c r="A8676" s="1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  <c r="P8676"/>
      <c r="Q8676"/>
      <c r="R8676"/>
      <c r="S8676"/>
    </row>
    <row r="8677" spans="1:19" x14ac:dyDescent="0.25">
      <c r="A8677" s="1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  <c r="P8677"/>
      <c r="Q8677"/>
      <c r="R8677"/>
      <c r="S8677"/>
    </row>
    <row r="8678" spans="1:19" x14ac:dyDescent="0.25">
      <c r="A8678" s="1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  <c r="P8678"/>
      <c r="Q8678"/>
      <c r="R8678"/>
      <c r="S8678"/>
    </row>
    <row r="8679" spans="1:19" x14ac:dyDescent="0.25">
      <c r="A8679" s="1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  <c r="P8679"/>
      <c r="Q8679"/>
      <c r="R8679"/>
      <c r="S8679"/>
    </row>
    <row r="8680" spans="1:19" x14ac:dyDescent="0.25">
      <c r="A8680" s="1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  <c r="P8680"/>
      <c r="Q8680"/>
      <c r="R8680"/>
      <c r="S8680"/>
    </row>
    <row r="8681" spans="1:19" x14ac:dyDescent="0.25">
      <c r="A8681" s="1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  <c r="P8681"/>
      <c r="Q8681"/>
      <c r="R8681"/>
      <c r="S8681"/>
    </row>
    <row r="8682" spans="1:19" x14ac:dyDescent="0.25">
      <c r="A8682" s="1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  <c r="P8682"/>
      <c r="Q8682"/>
      <c r="R8682"/>
      <c r="S8682"/>
    </row>
    <row r="8683" spans="1:19" x14ac:dyDescent="0.25">
      <c r="A8683" s="1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  <c r="P8683"/>
      <c r="Q8683"/>
      <c r="R8683"/>
      <c r="S8683"/>
    </row>
    <row r="8684" spans="1:19" x14ac:dyDescent="0.25">
      <c r="A8684" s="1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  <c r="P8684"/>
      <c r="Q8684"/>
      <c r="R8684"/>
      <c r="S8684"/>
    </row>
    <row r="8685" spans="1:19" x14ac:dyDescent="0.25">
      <c r="A8685" s="1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  <c r="P8685"/>
      <c r="Q8685"/>
      <c r="R8685"/>
      <c r="S8685"/>
    </row>
    <row r="8686" spans="1:19" x14ac:dyDescent="0.25">
      <c r="A8686" s="1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  <c r="P8686"/>
      <c r="Q8686"/>
      <c r="R8686"/>
      <c r="S8686"/>
    </row>
    <row r="8687" spans="1:19" x14ac:dyDescent="0.25">
      <c r="A8687" s="1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  <c r="P8687"/>
      <c r="Q8687"/>
      <c r="R8687"/>
      <c r="S8687"/>
    </row>
    <row r="8688" spans="1:19" x14ac:dyDescent="0.25">
      <c r="A8688" s="1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  <c r="P8688"/>
      <c r="Q8688"/>
      <c r="R8688"/>
      <c r="S8688"/>
    </row>
    <row r="8689" spans="1:19" x14ac:dyDescent="0.25">
      <c r="A8689" s="1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  <c r="P8689"/>
      <c r="Q8689"/>
      <c r="R8689"/>
      <c r="S8689"/>
    </row>
    <row r="8690" spans="1:19" x14ac:dyDescent="0.25">
      <c r="A8690" s="1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  <c r="P8690"/>
      <c r="Q8690"/>
      <c r="R8690"/>
      <c r="S8690"/>
    </row>
    <row r="8691" spans="1:19" x14ac:dyDescent="0.25">
      <c r="A8691" s="1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  <c r="P8691"/>
      <c r="Q8691"/>
      <c r="R8691"/>
      <c r="S8691"/>
    </row>
    <row r="8692" spans="1:19" x14ac:dyDescent="0.25">
      <c r="A8692" s="1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  <c r="P8692"/>
      <c r="Q8692"/>
      <c r="R8692"/>
      <c r="S8692"/>
    </row>
    <row r="8693" spans="1:19" x14ac:dyDescent="0.25">
      <c r="A8693" s="1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  <c r="P8693"/>
      <c r="Q8693"/>
      <c r="R8693"/>
      <c r="S8693"/>
    </row>
    <row r="8694" spans="1:19" x14ac:dyDescent="0.25">
      <c r="A8694" s="1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  <c r="P8694"/>
      <c r="Q8694"/>
      <c r="R8694"/>
      <c r="S8694"/>
    </row>
    <row r="8695" spans="1:19" x14ac:dyDescent="0.25">
      <c r="A8695" s="1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  <c r="P8695"/>
      <c r="Q8695"/>
      <c r="R8695"/>
      <c r="S8695"/>
    </row>
    <row r="8696" spans="1:19" x14ac:dyDescent="0.25">
      <c r="A8696" s="1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  <c r="P8696"/>
      <c r="Q8696"/>
      <c r="R8696"/>
      <c r="S8696"/>
    </row>
    <row r="8697" spans="1:19" x14ac:dyDescent="0.25">
      <c r="A8697" s="1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  <c r="P8697"/>
      <c r="Q8697"/>
      <c r="R8697"/>
      <c r="S8697"/>
    </row>
    <row r="8698" spans="1:19" x14ac:dyDescent="0.25">
      <c r="A8698" s="1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  <c r="P8698"/>
      <c r="Q8698"/>
      <c r="R8698"/>
      <c r="S8698"/>
    </row>
    <row r="8699" spans="1:19" x14ac:dyDescent="0.25">
      <c r="A8699" s="1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  <c r="P8699"/>
      <c r="Q8699"/>
      <c r="R8699"/>
      <c r="S8699"/>
    </row>
    <row r="8700" spans="1:19" x14ac:dyDescent="0.25">
      <c r="A8700" s="1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  <c r="P8700"/>
      <c r="Q8700"/>
      <c r="R8700"/>
      <c r="S8700"/>
    </row>
    <row r="8701" spans="1:19" x14ac:dyDescent="0.25">
      <c r="A8701" s="1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  <c r="P8701"/>
      <c r="Q8701"/>
      <c r="R8701"/>
      <c r="S8701"/>
    </row>
    <row r="8702" spans="1:19" x14ac:dyDescent="0.25">
      <c r="A8702" s="1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  <c r="P8702"/>
      <c r="Q8702"/>
      <c r="R8702"/>
      <c r="S8702"/>
    </row>
    <row r="8703" spans="1:19" x14ac:dyDescent="0.25">
      <c r="A8703" s="1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  <c r="P8703"/>
      <c r="Q8703"/>
      <c r="R8703"/>
      <c r="S8703"/>
    </row>
    <row r="8704" spans="1:19" x14ac:dyDescent="0.25">
      <c r="A8704" s="1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  <c r="P8704"/>
      <c r="Q8704"/>
      <c r="R8704"/>
      <c r="S8704"/>
    </row>
    <row r="8705" spans="1:19" x14ac:dyDescent="0.25">
      <c r="A8705" s="1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  <c r="P8705"/>
      <c r="Q8705"/>
      <c r="R8705"/>
      <c r="S8705"/>
    </row>
    <row r="8706" spans="1:19" x14ac:dyDescent="0.25">
      <c r="A8706" s="1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  <c r="P8706"/>
      <c r="Q8706"/>
      <c r="R8706"/>
      <c r="S8706"/>
    </row>
    <row r="8707" spans="1:19" x14ac:dyDescent="0.25">
      <c r="A8707" s="1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  <c r="P8707"/>
      <c r="Q8707"/>
      <c r="R8707"/>
      <c r="S8707"/>
    </row>
    <row r="8708" spans="1:19" x14ac:dyDescent="0.25">
      <c r="A8708" s="1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  <c r="P8708"/>
      <c r="Q8708"/>
      <c r="R8708"/>
      <c r="S8708"/>
    </row>
    <row r="8709" spans="1:19" x14ac:dyDescent="0.25">
      <c r="A8709" s="1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  <c r="P8709"/>
      <c r="Q8709"/>
      <c r="R8709"/>
      <c r="S8709"/>
    </row>
    <row r="8710" spans="1:19" x14ac:dyDescent="0.25">
      <c r="A8710" s="1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  <c r="P8710"/>
      <c r="Q8710"/>
      <c r="R8710"/>
      <c r="S8710"/>
    </row>
    <row r="8711" spans="1:19" x14ac:dyDescent="0.25">
      <c r="A8711" s="1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  <c r="P8711"/>
      <c r="Q8711"/>
      <c r="R8711"/>
      <c r="S8711"/>
    </row>
    <row r="8712" spans="1:19" x14ac:dyDescent="0.25">
      <c r="A8712" s="1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  <c r="P8712"/>
      <c r="Q8712"/>
      <c r="R8712"/>
      <c r="S8712"/>
    </row>
    <row r="8713" spans="1:19" x14ac:dyDescent="0.25">
      <c r="A8713" s="1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  <c r="P8713"/>
      <c r="Q8713"/>
      <c r="R8713"/>
      <c r="S8713"/>
    </row>
    <row r="8714" spans="1:19" x14ac:dyDescent="0.25">
      <c r="A8714" s="1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  <c r="P8714"/>
      <c r="Q8714"/>
      <c r="R8714"/>
      <c r="S8714"/>
    </row>
    <row r="8715" spans="1:19" x14ac:dyDescent="0.25">
      <c r="A8715" s="1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  <c r="P8715"/>
      <c r="Q8715"/>
      <c r="R8715"/>
      <c r="S8715"/>
    </row>
    <row r="8716" spans="1:19" x14ac:dyDescent="0.25">
      <c r="A8716" s="1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  <c r="P8716"/>
      <c r="Q8716"/>
      <c r="R8716"/>
      <c r="S8716"/>
    </row>
    <row r="8717" spans="1:19" x14ac:dyDescent="0.25">
      <c r="A8717" s="1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  <c r="P8717"/>
      <c r="Q8717"/>
      <c r="R8717"/>
      <c r="S8717"/>
    </row>
    <row r="8718" spans="1:19" x14ac:dyDescent="0.25">
      <c r="A8718" s="1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  <c r="P8718"/>
      <c r="Q8718"/>
      <c r="R8718"/>
      <c r="S8718"/>
    </row>
    <row r="8719" spans="1:19" x14ac:dyDescent="0.25">
      <c r="A8719" s="1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  <c r="P8719"/>
      <c r="Q8719"/>
      <c r="R8719"/>
      <c r="S8719"/>
    </row>
    <row r="8720" spans="1:19" x14ac:dyDescent="0.25">
      <c r="A8720" s="1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  <c r="P8720"/>
      <c r="Q8720"/>
      <c r="R8720"/>
      <c r="S8720"/>
    </row>
    <row r="8721" spans="1:19" x14ac:dyDescent="0.25">
      <c r="A8721" s="1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  <c r="P8721"/>
      <c r="Q8721"/>
      <c r="R8721"/>
      <c r="S8721"/>
    </row>
    <row r="8722" spans="1:19" x14ac:dyDescent="0.25">
      <c r="A8722" s="1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  <c r="P8722"/>
      <c r="Q8722"/>
      <c r="R8722"/>
      <c r="S8722"/>
    </row>
    <row r="8723" spans="1:19" x14ac:dyDescent="0.25">
      <c r="A8723" s="1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  <c r="P8723"/>
      <c r="Q8723"/>
      <c r="R8723"/>
      <c r="S8723"/>
    </row>
    <row r="8724" spans="1:19" x14ac:dyDescent="0.25">
      <c r="A8724" s="1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  <c r="P8724"/>
      <c r="Q8724"/>
      <c r="R8724"/>
      <c r="S8724"/>
    </row>
    <row r="8725" spans="1:19" x14ac:dyDescent="0.25">
      <c r="A8725" s="1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  <c r="P8725"/>
      <c r="Q8725"/>
      <c r="R8725"/>
      <c r="S8725"/>
    </row>
    <row r="8726" spans="1:19" x14ac:dyDescent="0.25">
      <c r="A8726" s="1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  <c r="P8726"/>
      <c r="Q8726"/>
      <c r="R8726"/>
      <c r="S8726"/>
    </row>
    <row r="8727" spans="1:19" x14ac:dyDescent="0.25">
      <c r="A8727" s="1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  <c r="P8727"/>
      <c r="Q8727"/>
      <c r="R8727"/>
      <c r="S8727"/>
    </row>
    <row r="8728" spans="1:19" x14ac:dyDescent="0.25">
      <c r="A8728" s="1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  <c r="P8728"/>
      <c r="Q8728"/>
      <c r="R8728"/>
      <c r="S8728"/>
    </row>
    <row r="8729" spans="1:19" x14ac:dyDescent="0.25">
      <c r="A8729" s="1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  <c r="P8729"/>
      <c r="Q8729"/>
      <c r="R8729"/>
      <c r="S8729"/>
    </row>
    <row r="8730" spans="1:19" x14ac:dyDescent="0.25">
      <c r="A8730" s="1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  <c r="P8730"/>
      <c r="Q8730"/>
      <c r="R8730"/>
      <c r="S8730"/>
    </row>
    <row r="8731" spans="1:19" x14ac:dyDescent="0.25">
      <c r="A8731" s="1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  <c r="P8731"/>
      <c r="Q8731"/>
      <c r="R8731"/>
      <c r="S8731"/>
    </row>
    <row r="8732" spans="1:19" x14ac:dyDescent="0.25">
      <c r="A8732" s="1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  <c r="P8732"/>
      <c r="Q8732"/>
      <c r="R8732"/>
      <c r="S8732"/>
    </row>
    <row r="8733" spans="1:19" x14ac:dyDescent="0.25">
      <c r="A8733" s="1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  <c r="P8733"/>
      <c r="Q8733"/>
      <c r="R8733"/>
      <c r="S8733"/>
    </row>
    <row r="8734" spans="1:19" x14ac:dyDescent="0.25">
      <c r="A8734" s="1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  <c r="P8734"/>
      <c r="Q8734"/>
      <c r="R8734"/>
      <c r="S8734"/>
    </row>
    <row r="8735" spans="1:19" x14ac:dyDescent="0.25">
      <c r="A8735" s="1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  <c r="P8735"/>
      <c r="Q8735"/>
      <c r="R8735"/>
      <c r="S8735"/>
    </row>
    <row r="8736" spans="1:19" x14ac:dyDescent="0.25">
      <c r="A8736" s="1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  <c r="P8736"/>
      <c r="Q8736"/>
      <c r="R8736"/>
      <c r="S8736"/>
    </row>
    <row r="8737" spans="1:19" x14ac:dyDescent="0.25">
      <c r="A8737" s="1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  <c r="P8737"/>
      <c r="Q8737"/>
      <c r="R8737"/>
      <c r="S8737"/>
    </row>
    <row r="8738" spans="1:19" x14ac:dyDescent="0.25">
      <c r="A8738" s="1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  <c r="P8738"/>
      <c r="Q8738"/>
      <c r="R8738"/>
      <c r="S8738"/>
    </row>
    <row r="8739" spans="1:19" x14ac:dyDescent="0.25">
      <c r="A8739" s="1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  <c r="P8739"/>
      <c r="Q8739"/>
      <c r="R8739"/>
      <c r="S8739"/>
    </row>
    <row r="8740" spans="1:19" x14ac:dyDescent="0.25">
      <c r="A8740" s="1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  <c r="P8740"/>
      <c r="Q8740"/>
      <c r="R8740"/>
      <c r="S8740"/>
    </row>
    <row r="8741" spans="1:19" x14ac:dyDescent="0.25">
      <c r="A8741" s="1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  <c r="P8741"/>
      <c r="Q8741"/>
      <c r="R8741"/>
      <c r="S8741"/>
    </row>
    <row r="8742" spans="1:19" x14ac:dyDescent="0.25">
      <c r="A8742" s="1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  <c r="P8742"/>
      <c r="Q8742"/>
      <c r="R8742"/>
      <c r="S8742"/>
    </row>
    <row r="8743" spans="1:19" x14ac:dyDescent="0.25">
      <c r="A8743" s="1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  <c r="P8743"/>
      <c r="Q8743"/>
      <c r="R8743"/>
      <c r="S8743"/>
    </row>
    <row r="8744" spans="1:19" x14ac:dyDescent="0.25">
      <c r="A8744" s="1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  <c r="P8744"/>
      <c r="Q8744"/>
      <c r="R8744"/>
      <c r="S8744"/>
    </row>
    <row r="8745" spans="1:19" x14ac:dyDescent="0.25">
      <c r="A8745" s="1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  <c r="P8745"/>
      <c r="Q8745"/>
      <c r="R8745"/>
      <c r="S8745"/>
    </row>
    <row r="8746" spans="1:19" x14ac:dyDescent="0.25">
      <c r="A8746" s="1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  <c r="P8746"/>
      <c r="Q8746"/>
      <c r="R8746"/>
      <c r="S8746"/>
    </row>
    <row r="8747" spans="1:19" x14ac:dyDescent="0.25">
      <c r="A8747" s="1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  <c r="P8747"/>
      <c r="Q8747"/>
      <c r="R8747"/>
      <c r="S8747"/>
    </row>
    <row r="8748" spans="1:19" x14ac:dyDescent="0.25">
      <c r="A8748" s="1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  <c r="P8748"/>
      <c r="Q8748"/>
      <c r="R8748"/>
      <c r="S8748"/>
    </row>
    <row r="8749" spans="1:19" x14ac:dyDescent="0.25">
      <c r="A8749" s="1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  <c r="P8749"/>
      <c r="Q8749"/>
      <c r="R8749"/>
      <c r="S8749"/>
    </row>
    <row r="8750" spans="1:19" x14ac:dyDescent="0.25">
      <c r="A8750" s="1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  <c r="P8750"/>
      <c r="Q8750"/>
      <c r="R8750"/>
      <c r="S8750"/>
    </row>
    <row r="8751" spans="1:19" x14ac:dyDescent="0.25">
      <c r="A8751" s="1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  <c r="P8751"/>
      <c r="Q8751"/>
      <c r="R8751"/>
      <c r="S8751"/>
    </row>
    <row r="8752" spans="1:19" x14ac:dyDescent="0.25">
      <c r="A8752" s="1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  <c r="P8752"/>
      <c r="Q8752"/>
      <c r="R8752"/>
      <c r="S8752"/>
    </row>
    <row r="8753" spans="1:19" x14ac:dyDescent="0.25">
      <c r="A8753" s="1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  <c r="P8753"/>
      <c r="Q8753"/>
      <c r="R8753"/>
      <c r="S8753"/>
    </row>
    <row r="8754" spans="1:19" x14ac:dyDescent="0.25">
      <c r="A8754" s="1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  <c r="P8754"/>
      <c r="Q8754"/>
      <c r="R8754"/>
      <c r="S8754"/>
    </row>
    <row r="8755" spans="1:19" x14ac:dyDescent="0.25">
      <c r="A8755" s="1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  <c r="P8755"/>
      <c r="Q8755"/>
      <c r="R8755"/>
      <c r="S8755"/>
    </row>
    <row r="8756" spans="1:19" x14ac:dyDescent="0.25">
      <c r="A8756" s="1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  <c r="P8756"/>
      <c r="Q8756"/>
      <c r="R8756"/>
      <c r="S8756"/>
    </row>
    <row r="8757" spans="1:19" x14ac:dyDescent="0.25">
      <c r="A8757" s="1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  <c r="P8757"/>
      <c r="Q8757"/>
      <c r="R8757"/>
      <c r="S8757"/>
    </row>
    <row r="8758" spans="1:19" x14ac:dyDescent="0.25">
      <c r="A8758" s="1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  <c r="P8758"/>
      <c r="Q8758"/>
      <c r="R8758"/>
      <c r="S8758"/>
    </row>
    <row r="8759" spans="1:19" x14ac:dyDescent="0.25">
      <c r="A8759" s="1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  <c r="P8759"/>
      <c r="Q8759"/>
      <c r="R8759"/>
      <c r="S8759"/>
    </row>
    <row r="8760" spans="1:19" x14ac:dyDescent="0.25">
      <c r="A8760" s="1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  <c r="P8760"/>
      <c r="Q8760"/>
      <c r="R8760"/>
      <c r="S8760"/>
    </row>
    <row r="8761" spans="1:19" x14ac:dyDescent="0.25">
      <c r="A8761" s="1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  <c r="P8761"/>
      <c r="Q8761"/>
      <c r="R8761"/>
      <c r="S8761"/>
    </row>
    <row r="8762" spans="1:19" x14ac:dyDescent="0.25">
      <c r="A8762" s="1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  <c r="P8762"/>
      <c r="Q8762"/>
      <c r="R8762"/>
      <c r="S8762"/>
    </row>
    <row r="8763" spans="1:19" x14ac:dyDescent="0.25">
      <c r="A8763" s="1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  <c r="P8763"/>
      <c r="Q8763"/>
      <c r="R8763"/>
      <c r="S8763"/>
    </row>
    <row r="8764" spans="1:19" x14ac:dyDescent="0.25">
      <c r="A8764" s="1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  <c r="P8764"/>
      <c r="Q8764"/>
      <c r="R8764"/>
      <c r="S8764"/>
    </row>
    <row r="8765" spans="1:19" x14ac:dyDescent="0.25">
      <c r="A8765" s="1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  <c r="P8765"/>
      <c r="Q8765"/>
      <c r="R8765"/>
      <c r="S8765"/>
    </row>
    <row r="8766" spans="1:19" x14ac:dyDescent="0.25">
      <c r="A8766" s="1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  <c r="P8766"/>
      <c r="Q8766"/>
      <c r="R8766"/>
      <c r="S8766"/>
    </row>
    <row r="8767" spans="1:19" x14ac:dyDescent="0.25">
      <c r="A8767" s="1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  <c r="P8767"/>
      <c r="Q8767"/>
      <c r="R8767"/>
      <c r="S8767"/>
    </row>
    <row r="8768" spans="1:19" x14ac:dyDescent="0.25">
      <c r="A8768" s="1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  <c r="P8768"/>
      <c r="Q8768"/>
      <c r="R8768"/>
      <c r="S8768"/>
    </row>
    <row r="8769" spans="1:19" x14ac:dyDescent="0.25">
      <c r="A8769" s="1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  <c r="P8769"/>
      <c r="Q8769"/>
      <c r="R8769"/>
      <c r="S8769"/>
    </row>
    <row r="8770" spans="1:19" x14ac:dyDescent="0.25">
      <c r="A8770" s="1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  <c r="P8770"/>
      <c r="Q8770"/>
      <c r="R8770"/>
      <c r="S8770"/>
    </row>
    <row r="8771" spans="1:19" x14ac:dyDescent="0.25">
      <c r="A8771" s="1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  <c r="P8771"/>
      <c r="Q8771"/>
      <c r="R8771"/>
      <c r="S8771"/>
    </row>
    <row r="8772" spans="1:19" x14ac:dyDescent="0.25">
      <c r="A8772" s="1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  <c r="P8772"/>
      <c r="Q8772"/>
      <c r="R8772"/>
      <c r="S8772"/>
    </row>
    <row r="8773" spans="1:19" x14ac:dyDescent="0.25">
      <c r="A8773" s="1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  <c r="P8773"/>
      <c r="Q8773"/>
      <c r="R8773"/>
      <c r="S8773"/>
    </row>
    <row r="8774" spans="1:19" x14ac:dyDescent="0.25">
      <c r="A8774" s="1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  <c r="P8774"/>
      <c r="Q8774"/>
      <c r="R8774"/>
      <c r="S8774"/>
    </row>
    <row r="8775" spans="1:19" x14ac:dyDescent="0.25">
      <c r="A8775" s="1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  <c r="P8775"/>
      <c r="Q8775"/>
      <c r="R8775"/>
      <c r="S8775"/>
    </row>
    <row r="8776" spans="1:19" x14ac:dyDescent="0.25">
      <c r="A8776" s="1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  <c r="P8776"/>
      <c r="Q8776"/>
      <c r="R8776"/>
      <c r="S8776"/>
    </row>
    <row r="8777" spans="1:19" x14ac:dyDescent="0.25">
      <c r="A8777" s="1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  <c r="P8777"/>
      <c r="Q8777"/>
      <c r="R8777"/>
      <c r="S8777"/>
    </row>
    <row r="8778" spans="1:19" x14ac:dyDescent="0.25">
      <c r="A8778" s="1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  <c r="P8778"/>
      <c r="Q8778"/>
      <c r="R8778"/>
      <c r="S8778"/>
    </row>
    <row r="8779" spans="1:19" x14ac:dyDescent="0.25">
      <c r="A8779" s="1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  <c r="P8779"/>
      <c r="Q8779"/>
      <c r="R8779"/>
      <c r="S8779"/>
    </row>
    <row r="8780" spans="1:19" x14ac:dyDescent="0.25">
      <c r="A8780" s="1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  <c r="P8780"/>
      <c r="Q8780"/>
      <c r="R8780"/>
      <c r="S8780"/>
    </row>
    <row r="8781" spans="1:19" x14ac:dyDescent="0.25">
      <c r="A8781" s="1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  <c r="P8781"/>
      <c r="Q8781"/>
      <c r="R8781"/>
      <c r="S8781"/>
    </row>
    <row r="8782" spans="1:19" x14ac:dyDescent="0.25">
      <c r="A8782" s="1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  <c r="P8782"/>
      <c r="Q8782"/>
      <c r="R8782"/>
      <c r="S8782"/>
    </row>
    <row r="8783" spans="1:19" x14ac:dyDescent="0.25">
      <c r="A8783" s="1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  <c r="P8783"/>
      <c r="Q8783"/>
      <c r="R8783"/>
      <c r="S8783"/>
    </row>
    <row r="8784" spans="1:19" x14ac:dyDescent="0.25">
      <c r="A8784" s="1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  <c r="P8784"/>
      <c r="Q8784"/>
      <c r="R8784"/>
      <c r="S8784"/>
    </row>
    <row r="8785" spans="1:19" x14ac:dyDescent="0.25">
      <c r="A8785" s="1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  <c r="P8785"/>
      <c r="Q8785"/>
      <c r="R8785"/>
      <c r="S8785"/>
    </row>
    <row r="8786" spans="1:19" x14ac:dyDescent="0.25">
      <c r="A8786" s="1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  <c r="P8786"/>
      <c r="Q8786"/>
      <c r="R8786"/>
      <c r="S8786"/>
    </row>
    <row r="8787" spans="1:19" x14ac:dyDescent="0.25">
      <c r="A8787" s="1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  <c r="P8787"/>
      <c r="Q8787"/>
      <c r="R8787"/>
      <c r="S8787"/>
    </row>
    <row r="8788" spans="1:19" x14ac:dyDescent="0.25">
      <c r="A8788" s="1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  <c r="P8788"/>
      <c r="Q8788"/>
      <c r="R8788"/>
      <c r="S8788"/>
    </row>
    <row r="8789" spans="1:19" x14ac:dyDescent="0.25">
      <c r="A8789" s="1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  <c r="P8789"/>
      <c r="Q8789"/>
      <c r="R8789"/>
      <c r="S8789"/>
    </row>
    <row r="8790" spans="1:19" x14ac:dyDescent="0.25">
      <c r="A8790" s="1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  <c r="P8790"/>
      <c r="Q8790"/>
      <c r="R8790"/>
      <c r="S8790"/>
    </row>
    <row r="8791" spans="1:19" x14ac:dyDescent="0.25">
      <c r="A8791" s="1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  <c r="P8791"/>
      <c r="Q8791"/>
      <c r="R8791"/>
      <c r="S8791"/>
    </row>
    <row r="8792" spans="1:19" x14ac:dyDescent="0.25">
      <c r="A8792" s="1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  <c r="P8792"/>
      <c r="Q8792"/>
      <c r="R8792"/>
      <c r="S8792"/>
    </row>
    <row r="8793" spans="1:19" x14ac:dyDescent="0.25">
      <c r="A8793" s="1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  <c r="P8793"/>
      <c r="Q8793"/>
      <c r="R8793"/>
      <c r="S8793"/>
    </row>
    <row r="8794" spans="1:19" x14ac:dyDescent="0.25">
      <c r="A8794" s="1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  <c r="P8794"/>
      <c r="Q8794"/>
      <c r="R8794"/>
      <c r="S8794"/>
    </row>
    <row r="8795" spans="1:19" x14ac:dyDescent="0.25">
      <c r="A8795" s="1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  <c r="P8795"/>
      <c r="Q8795"/>
      <c r="R8795"/>
      <c r="S8795"/>
    </row>
    <row r="8796" spans="1:19" x14ac:dyDescent="0.25">
      <c r="A8796" s="1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  <c r="P8796"/>
      <c r="Q8796"/>
      <c r="R8796"/>
      <c r="S8796"/>
    </row>
    <row r="8797" spans="1:19" x14ac:dyDescent="0.25">
      <c r="A8797" s="1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  <c r="P8797"/>
      <c r="Q8797"/>
      <c r="R8797"/>
      <c r="S8797"/>
    </row>
    <row r="8798" spans="1:19" x14ac:dyDescent="0.25">
      <c r="A8798" s="1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  <c r="P8798"/>
      <c r="Q8798"/>
      <c r="R8798"/>
      <c r="S8798"/>
    </row>
    <row r="8799" spans="1:19" x14ac:dyDescent="0.25">
      <c r="A8799" s="1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  <c r="P8799"/>
      <c r="Q8799"/>
      <c r="R8799"/>
      <c r="S8799"/>
    </row>
    <row r="8800" spans="1:19" x14ac:dyDescent="0.25">
      <c r="A8800" s="1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  <c r="P8800"/>
      <c r="Q8800"/>
      <c r="R8800"/>
      <c r="S8800"/>
    </row>
    <row r="8801" spans="1:19" x14ac:dyDescent="0.25">
      <c r="A8801" s="1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  <c r="P8801"/>
      <c r="Q8801"/>
      <c r="R8801"/>
      <c r="S8801"/>
    </row>
    <row r="8802" spans="1:19" x14ac:dyDescent="0.25">
      <c r="A8802" s="1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  <c r="P8802"/>
      <c r="Q8802"/>
      <c r="R8802"/>
      <c r="S8802"/>
    </row>
    <row r="8803" spans="1:19" x14ac:dyDescent="0.25">
      <c r="A8803" s="1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  <c r="P8803"/>
      <c r="Q8803"/>
      <c r="R8803"/>
      <c r="S8803"/>
    </row>
    <row r="8804" spans="1:19" x14ac:dyDescent="0.25">
      <c r="A8804" s="1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  <c r="P8804"/>
      <c r="Q8804"/>
      <c r="R8804"/>
      <c r="S8804"/>
    </row>
    <row r="8805" spans="1:19" x14ac:dyDescent="0.25">
      <c r="A8805" s="1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  <c r="P8805"/>
      <c r="Q8805"/>
      <c r="R8805"/>
      <c r="S8805"/>
    </row>
    <row r="8806" spans="1:19" x14ac:dyDescent="0.25">
      <c r="A8806" s="1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  <c r="P8806"/>
      <c r="Q8806"/>
      <c r="R8806"/>
      <c r="S8806"/>
    </row>
    <row r="8807" spans="1:19" x14ac:dyDescent="0.25">
      <c r="A8807" s="1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  <c r="P8807"/>
      <c r="Q8807"/>
      <c r="R8807"/>
      <c r="S8807"/>
    </row>
    <row r="8808" spans="1:19" x14ac:dyDescent="0.25">
      <c r="A8808" s="1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  <c r="P8808"/>
      <c r="Q8808"/>
      <c r="R8808"/>
      <c r="S8808"/>
    </row>
    <row r="8809" spans="1:19" x14ac:dyDescent="0.25">
      <c r="A8809" s="1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  <c r="P8809"/>
      <c r="Q8809"/>
      <c r="R8809"/>
      <c r="S8809"/>
    </row>
    <row r="8810" spans="1:19" x14ac:dyDescent="0.25">
      <c r="A8810" s="1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  <c r="P8810"/>
      <c r="Q8810"/>
      <c r="R8810"/>
      <c r="S8810"/>
    </row>
    <row r="8811" spans="1:19" x14ac:dyDescent="0.25">
      <c r="A8811" s="1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  <c r="P8811"/>
      <c r="Q8811"/>
      <c r="R8811"/>
      <c r="S8811"/>
    </row>
    <row r="8812" spans="1:19" x14ac:dyDescent="0.25">
      <c r="A8812" s="1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  <c r="P8812"/>
      <c r="Q8812"/>
      <c r="R8812"/>
      <c r="S8812"/>
    </row>
    <row r="8813" spans="1:19" x14ac:dyDescent="0.25">
      <c r="A8813" s="1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  <c r="P8813"/>
      <c r="Q8813"/>
      <c r="R8813"/>
      <c r="S8813"/>
    </row>
    <row r="8814" spans="1:19" x14ac:dyDescent="0.25">
      <c r="A8814" s="1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  <c r="P8814"/>
      <c r="Q8814"/>
      <c r="R8814"/>
      <c r="S8814"/>
    </row>
    <row r="8815" spans="1:19" x14ac:dyDescent="0.25">
      <c r="A8815" s="1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  <c r="P8815"/>
      <c r="Q8815"/>
      <c r="R8815"/>
      <c r="S8815"/>
    </row>
    <row r="8816" spans="1:19" x14ac:dyDescent="0.25">
      <c r="A8816" s="1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  <c r="P8816"/>
      <c r="Q8816"/>
      <c r="R8816"/>
      <c r="S8816"/>
    </row>
    <row r="8817" spans="1:19" x14ac:dyDescent="0.25">
      <c r="A8817" s="1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  <c r="P8817"/>
      <c r="Q8817"/>
      <c r="R8817"/>
      <c r="S8817"/>
    </row>
    <row r="8818" spans="1:19" x14ac:dyDescent="0.25">
      <c r="A8818" s="1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  <c r="P8818"/>
      <c r="Q8818"/>
      <c r="R8818"/>
      <c r="S8818"/>
    </row>
    <row r="8819" spans="1:19" x14ac:dyDescent="0.25">
      <c r="A8819" s="1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  <c r="P8819"/>
      <c r="Q8819"/>
      <c r="R8819"/>
      <c r="S8819"/>
    </row>
    <row r="8820" spans="1:19" x14ac:dyDescent="0.25">
      <c r="A8820" s="1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  <c r="P8820"/>
      <c r="Q8820"/>
      <c r="R8820"/>
      <c r="S8820"/>
    </row>
    <row r="8821" spans="1:19" x14ac:dyDescent="0.25">
      <c r="A8821" s="1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  <c r="P8821"/>
      <c r="Q8821"/>
      <c r="R8821"/>
      <c r="S8821"/>
    </row>
    <row r="8822" spans="1:19" x14ac:dyDescent="0.25">
      <c r="A8822" s="1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  <c r="P8822"/>
      <c r="Q8822"/>
      <c r="R8822"/>
      <c r="S8822"/>
    </row>
    <row r="8823" spans="1:19" x14ac:dyDescent="0.25">
      <c r="A8823" s="1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  <c r="P8823"/>
      <c r="Q8823"/>
      <c r="R8823"/>
      <c r="S8823"/>
    </row>
    <row r="8824" spans="1:19" x14ac:dyDescent="0.25">
      <c r="A8824" s="1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  <c r="P8824"/>
      <c r="Q8824"/>
      <c r="R8824"/>
      <c r="S8824"/>
    </row>
    <row r="8825" spans="1:19" x14ac:dyDescent="0.25">
      <c r="A8825" s="1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  <c r="P8825"/>
      <c r="Q8825"/>
      <c r="R8825"/>
      <c r="S8825"/>
    </row>
    <row r="8826" spans="1:19" x14ac:dyDescent="0.25">
      <c r="A8826" s="1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  <c r="P8826"/>
      <c r="Q8826"/>
      <c r="R8826"/>
      <c r="S8826"/>
    </row>
    <row r="8827" spans="1:19" x14ac:dyDescent="0.25">
      <c r="A8827" s="1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  <c r="P8827"/>
      <c r="Q8827"/>
      <c r="R8827"/>
      <c r="S8827"/>
    </row>
    <row r="8828" spans="1:19" x14ac:dyDescent="0.25">
      <c r="A8828" s="1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  <c r="P8828"/>
      <c r="Q8828"/>
      <c r="R8828"/>
      <c r="S8828"/>
    </row>
    <row r="8829" spans="1:19" x14ac:dyDescent="0.25">
      <c r="A8829" s="1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  <c r="P8829"/>
      <c r="Q8829"/>
      <c r="R8829"/>
      <c r="S8829"/>
    </row>
    <row r="8830" spans="1:19" x14ac:dyDescent="0.25">
      <c r="A8830" s="1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  <c r="P8830"/>
      <c r="Q8830"/>
      <c r="R8830"/>
      <c r="S8830"/>
    </row>
    <row r="8831" spans="1:19" x14ac:dyDescent="0.25">
      <c r="A8831" s="1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  <c r="P8831"/>
      <c r="Q8831"/>
      <c r="R8831"/>
      <c r="S8831"/>
    </row>
    <row r="8832" spans="1:19" x14ac:dyDescent="0.25">
      <c r="A8832" s="1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  <c r="P8832"/>
      <c r="Q8832"/>
      <c r="R8832"/>
      <c r="S8832"/>
    </row>
    <row r="8833" spans="1:19" x14ac:dyDescent="0.25">
      <c r="A8833" s="1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  <c r="P8833"/>
      <c r="Q8833"/>
      <c r="R8833"/>
      <c r="S8833"/>
    </row>
    <row r="8834" spans="1:19" x14ac:dyDescent="0.25">
      <c r="A8834" s="1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  <c r="P8834"/>
      <c r="Q8834"/>
      <c r="R8834"/>
      <c r="S8834"/>
    </row>
    <row r="8835" spans="1:19" x14ac:dyDescent="0.25">
      <c r="A8835" s="1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  <c r="P8835"/>
      <c r="Q8835"/>
      <c r="R8835"/>
      <c r="S8835"/>
    </row>
    <row r="8836" spans="1:19" x14ac:dyDescent="0.25">
      <c r="A8836" s="1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  <c r="P8836"/>
      <c r="Q8836"/>
      <c r="R8836"/>
      <c r="S8836"/>
    </row>
    <row r="8837" spans="1:19" x14ac:dyDescent="0.25">
      <c r="A8837" s="1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  <c r="P8837"/>
      <c r="Q8837"/>
      <c r="R8837"/>
      <c r="S8837"/>
    </row>
    <row r="8838" spans="1:19" x14ac:dyDescent="0.25">
      <c r="A8838" s="1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  <c r="P8838"/>
      <c r="Q8838"/>
      <c r="R8838"/>
      <c r="S8838"/>
    </row>
    <row r="8839" spans="1:19" x14ac:dyDescent="0.25">
      <c r="A8839" s="1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  <c r="P8839"/>
      <c r="Q8839"/>
      <c r="R8839"/>
      <c r="S8839"/>
    </row>
    <row r="8840" spans="1:19" x14ac:dyDescent="0.25">
      <c r="A8840" s="1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  <c r="P8840"/>
      <c r="Q8840"/>
      <c r="R8840"/>
      <c r="S8840"/>
    </row>
    <row r="8841" spans="1:19" x14ac:dyDescent="0.25">
      <c r="A8841" s="1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  <c r="P8841"/>
      <c r="Q8841"/>
      <c r="R8841"/>
      <c r="S8841"/>
    </row>
    <row r="8842" spans="1:19" x14ac:dyDescent="0.25">
      <c r="A8842" s="1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  <c r="P8842"/>
      <c r="Q8842"/>
      <c r="R8842"/>
      <c r="S8842"/>
    </row>
    <row r="8843" spans="1:19" x14ac:dyDescent="0.25">
      <c r="A8843" s="1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  <c r="P8843"/>
      <c r="Q8843"/>
      <c r="R8843"/>
      <c r="S8843"/>
    </row>
    <row r="8844" spans="1:19" x14ac:dyDescent="0.25">
      <c r="A8844" s="1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  <c r="P8844"/>
      <c r="Q8844"/>
      <c r="R8844"/>
      <c r="S8844"/>
    </row>
    <row r="8845" spans="1:19" x14ac:dyDescent="0.25">
      <c r="A8845" s="1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  <c r="P8845"/>
      <c r="Q8845"/>
      <c r="R8845"/>
      <c r="S8845"/>
    </row>
    <row r="8846" spans="1:19" x14ac:dyDescent="0.25">
      <c r="A8846" s="1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  <c r="P8846"/>
      <c r="Q8846"/>
      <c r="R8846"/>
      <c r="S8846"/>
    </row>
    <row r="8847" spans="1:19" x14ac:dyDescent="0.25">
      <c r="A8847" s="1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  <c r="P8847"/>
      <c r="Q8847"/>
      <c r="R8847"/>
      <c r="S8847"/>
    </row>
    <row r="8848" spans="1:19" x14ac:dyDescent="0.25">
      <c r="A8848" s="1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  <c r="P8848"/>
      <c r="Q8848"/>
      <c r="R8848"/>
      <c r="S8848"/>
    </row>
    <row r="8849" spans="1:19" x14ac:dyDescent="0.25">
      <c r="A8849" s="1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  <c r="P8849"/>
      <c r="Q8849"/>
      <c r="R8849"/>
      <c r="S8849"/>
    </row>
    <row r="8850" spans="1:19" x14ac:dyDescent="0.25">
      <c r="A8850" s="1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  <c r="P8850"/>
      <c r="Q8850"/>
      <c r="R8850"/>
      <c r="S8850"/>
    </row>
    <row r="8851" spans="1:19" x14ac:dyDescent="0.25">
      <c r="A8851" s="1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  <c r="P8851"/>
      <c r="Q8851"/>
      <c r="R8851"/>
      <c r="S8851"/>
    </row>
    <row r="8852" spans="1:19" x14ac:dyDescent="0.25">
      <c r="A8852" s="1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  <c r="P8852"/>
      <c r="Q8852"/>
      <c r="R8852"/>
      <c r="S8852"/>
    </row>
    <row r="8853" spans="1:19" x14ac:dyDescent="0.25">
      <c r="A8853" s="1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  <c r="P8853"/>
      <c r="Q8853"/>
      <c r="R8853"/>
      <c r="S8853"/>
    </row>
    <row r="8854" spans="1:19" x14ac:dyDescent="0.25">
      <c r="A8854" s="1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  <c r="P8854"/>
      <c r="Q8854"/>
      <c r="R8854"/>
      <c r="S8854"/>
    </row>
    <row r="8855" spans="1:19" x14ac:dyDescent="0.25">
      <c r="A8855" s="1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  <c r="P8855"/>
      <c r="Q8855"/>
      <c r="R8855"/>
      <c r="S8855"/>
    </row>
    <row r="8856" spans="1:19" x14ac:dyDescent="0.25">
      <c r="A8856" s="1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  <c r="P8856"/>
      <c r="Q8856"/>
      <c r="R8856"/>
      <c r="S8856"/>
    </row>
    <row r="8857" spans="1:19" x14ac:dyDescent="0.25">
      <c r="A8857" s="1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  <c r="P8857"/>
      <c r="Q8857"/>
      <c r="R8857"/>
      <c r="S8857"/>
    </row>
    <row r="8858" spans="1:19" x14ac:dyDescent="0.25">
      <c r="A8858" s="1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  <c r="P8858"/>
      <c r="Q8858"/>
      <c r="R8858"/>
      <c r="S8858"/>
    </row>
    <row r="8859" spans="1:19" x14ac:dyDescent="0.25">
      <c r="A8859" s="1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  <c r="P8859"/>
      <c r="Q8859"/>
      <c r="R8859"/>
      <c r="S8859"/>
    </row>
    <row r="8860" spans="1:19" x14ac:dyDescent="0.25">
      <c r="A8860" s="1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  <c r="P8860"/>
      <c r="Q8860"/>
      <c r="R8860"/>
      <c r="S8860"/>
    </row>
    <row r="8861" spans="1:19" x14ac:dyDescent="0.25">
      <c r="A8861" s="1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  <c r="P8861"/>
      <c r="Q8861"/>
      <c r="R8861"/>
      <c r="S8861"/>
    </row>
    <row r="8862" spans="1:19" x14ac:dyDescent="0.25">
      <c r="A8862" s="1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  <c r="P8862"/>
      <c r="Q8862"/>
      <c r="R8862"/>
      <c r="S8862"/>
    </row>
    <row r="8863" spans="1:19" x14ac:dyDescent="0.25">
      <c r="A8863" s="1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  <c r="P8863"/>
      <c r="Q8863"/>
      <c r="R8863"/>
      <c r="S8863"/>
    </row>
    <row r="8864" spans="1:19" x14ac:dyDescent="0.25">
      <c r="A8864" s="1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  <c r="P8864"/>
      <c r="Q8864"/>
      <c r="R8864"/>
      <c r="S8864"/>
    </row>
    <row r="8865" spans="1:19" x14ac:dyDescent="0.25">
      <c r="A8865" s="1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  <c r="P8865"/>
      <c r="Q8865"/>
      <c r="R8865"/>
      <c r="S8865"/>
    </row>
    <row r="8866" spans="1:19" x14ac:dyDescent="0.25">
      <c r="A8866" s="1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  <c r="P8866"/>
      <c r="Q8866"/>
      <c r="R8866"/>
      <c r="S8866"/>
    </row>
    <row r="8867" spans="1:19" x14ac:dyDescent="0.25">
      <c r="A8867" s="1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  <c r="P8867"/>
      <c r="Q8867"/>
      <c r="R8867"/>
      <c r="S8867"/>
    </row>
    <row r="8868" spans="1:19" x14ac:dyDescent="0.25">
      <c r="A8868" s="1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  <c r="P8868"/>
      <c r="Q8868"/>
      <c r="R8868"/>
      <c r="S8868"/>
    </row>
    <row r="8869" spans="1:19" x14ac:dyDescent="0.25">
      <c r="A8869" s="1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  <c r="P8869"/>
      <c r="Q8869"/>
      <c r="R8869"/>
      <c r="S8869"/>
    </row>
    <row r="8870" spans="1:19" x14ac:dyDescent="0.25">
      <c r="A8870" s="1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  <c r="P8870"/>
      <c r="Q8870"/>
      <c r="R8870"/>
      <c r="S8870"/>
    </row>
    <row r="8871" spans="1:19" x14ac:dyDescent="0.25">
      <c r="A8871" s="1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  <c r="P8871"/>
      <c r="Q8871"/>
      <c r="R8871"/>
      <c r="S8871"/>
    </row>
    <row r="8872" spans="1:19" x14ac:dyDescent="0.25">
      <c r="A8872" s="1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  <c r="P8872"/>
      <c r="Q8872"/>
      <c r="R8872"/>
      <c r="S8872"/>
    </row>
    <row r="8873" spans="1:19" x14ac:dyDescent="0.25">
      <c r="A8873" s="1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  <c r="P8873"/>
      <c r="Q8873"/>
      <c r="R8873"/>
      <c r="S8873"/>
    </row>
    <row r="8874" spans="1:19" x14ac:dyDescent="0.25">
      <c r="A8874" s="1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  <c r="P8874"/>
      <c r="Q8874"/>
      <c r="R8874"/>
      <c r="S8874"/>
    </row>
    <row r="8875" spans="1:19" x14ac:dyDescent="0.25">
      <c r="A8875" s="1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  <c r="P8875"/>
      <c r="Q8875"/>
      <c r="R8875"/>
      <c r="S8875"/>
    </row>
    <row r="8876" spans="1:19" x14ac:dyDescent="0.25">
      <c r="A8876" s="1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  <c r="P8876"/>
      <c r="Q8876"/>
      <c r="R8876"/>
      <c r="S8876"/>
    </row>
    <row r="8877" spans="1:19" x14ac:dyDescent="0.25">
      <c r="A8877" s="1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  <c r="P8877"/>
      <c r="Q8877"/>
      <c r="R8877"/>
      <c r="S8877"/>
    </row>
    <row r="8878" spans="1:19" x14ac:dyDescent="0.25">
      <c r="A8878" s="1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  <c r="P8878"/>
      <c r="Q8878"/>
      <c r="R8878"/>
      <c r="S8878"/>
    </row>
    <row r="8879" spans="1:19" x14ac:dyDescent="0.25">
      <c r="A8879" s="1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  <c r="P8879"/>
      <c r="Q8879"/>
      <c r="R8879"/>
      <c r="S8879"/>
    </row>
    <row r="8880" spans="1:19" x14ac:dyDescent="0.25">
      <c r="A8880" s="1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  <c r="P8880"/>
      <c r="Q8880"/>
      <c r="R8880"/>
      <c r="S8880"/>
    </row>
    <row r="8881" spans="1:19" x14ac:dyDescent="0.25">
      <c r="A8881" s="1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  <c r="P8881"/>
      <c r="Q8881"/>
      <c r="R8881"/>
      <c r="S8881"/>
    </row>
    <row r="8882" spans="1:19" x14ac:dyDescent="0.25">
      <c r="A8882" s="1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  <c r="P8882"/>
      <c r="Q8882"/>
      <c r="R8882"/>
      <c r="S8882"/>
    </row>
    <row r="8883" spans="1:19" x14ac:dyDescent="0.25">
      <c r="A8883" s="1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  <c r="P8883"/>
      <c r="Q8883"/>
      <c r="R8883"/>
      <c r="S8883"/>
    </row>
    <row r="8884" spans="1:19" x14ac:dyDescent="0.25">
      <c r="A8884" s="1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  <c r="P8884"/>
      <c r="Q8884"/>
      <c r="R8884"/>
      <c r="S8884"/>
    </row>
    <row r="8885" spans="1:19" x14ac:dyDescent="0.25">
      <c r="A8885" s="1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  <c r="P8885"/>
      <c r="Q8885"/>
      <c r="R8885"/>
      <c r="S8885"/>
    </row>
    <row r="8886" spans="1:19" x14ac:dyDescent="0.25">
      <c r="A8886" s="1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  <c r="P8886"/>
      <c r="Q8886"/>
      <c r="R8886"/>
      <c r="S8886"/>
    </row>
    <row r="8887" spans="1:19" x14ac:dyDescent="0.25">
      <c r="A8887" s="1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  <c r="P8887"/>
      <c r="Q8887"/>
      <c r="R8887"/>
      <c r="S8887"/>
    </row>
    <row r="8888" spans="1:19" x14ac:dyDescent="0.25">
      <c r="A8888" s="1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  <c r="P8888"/>
      <c r="Q8888"/>
      <c r="R8888"/>
      <c r="S8888"/>
    </row>
    <row r="8889" spans="1:19" x14ac:dyDescent="0.25">
      <c r="A8889" s="1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  <c r="P8889"/>
      <c r="Q8889"/>
      <c r="R8889"/>
      <c r="S8889"/>
    </row>
    <row r="8890" spans="1:19" x14ac:dyDescent="0.25">
      <c r="A8890" s="1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  <c r="P8890"/>
      <c r="Q8890"/>
      <c r="R8890"/>
      <c r="S8890"/>
    </row>
    <row r="8891" spans="1:19" x14ac:dyDescent="0.25">
      <c r="A8891" s="1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  <c r="P8891"/>
      <c r="Q8891"/>
      <c r="R8891"/>
      <c r="S8891"/>
    </row>
    <row r="8892" spans="1:19" x14ac:dyDescent="0.25">
      <c r="A8892" s="1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  <c r="P8892"/>
      <c r="Q8892"/>
      <c r="R8892"/>
      <c r="S8892"/>
    </row>
    <row r="8893" spans="1:19" x14ac:dyDescent="0.25">
      <c r="A8893" s="1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  <c r="P8893"/>
      <c r="Q8893"/>
      <c r="R8893"/>
      <c r="S8893"/>
    </row>
    <row r="8894" spans="1:19" x14ac:dyDescent="0.25">
      <c r="A8894" s="1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  <c r="P8894"/>
      <c r="Q8894"/>
      <c r="R8894"/>
      <c r="S8894"/>
    </row>
    <row r="8895" spans="1:19" x14ac:dyDescent="0.25">
      <c r="A8895" s="1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  <c r="P8895"/>
      <c r="Q8895"/>
      <c r="R8895"/>
      <c r="S8895"/>
    </row>
    <row r="8896" spans="1:19" x14ac:dyDescent="0.25">
      <c r="A8896" s="1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  <c r="P8896"/>
      <c r="Q8896"/>
      <c r="R8896"/>
      <c r="S8896"/>
    </row>
    <row r="8897" spans="1:19" x14ac:dyDescent="0.25">
      <c r="A8897" s="1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  <c r="P8897"/>
      <c r="Q8897"/>
      <c r="R8897"/>
      <c r="S8897"/>
    </row>
    <row r="8898" spans="1:19" x14ac:dyDescent="0.25">
      <c r="A8898" s="1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  <c r="P8898"/>
      <c r="Q8898"/>
      <c r="R8898"/>
      <c r="S8898"/>
    </row>
    <row r="8899" spans="1:19" x14ac:dyDescent="0.25">
      <c r="A8899" s="1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  <c r="P8899"/>
      <c r="Q8899"/>
      <c r="R8899"/>
      <c r="S8899"/>
    </row>
    <row r="8900" spans="1:19" x14ac:dyDescent="0.25">
      <c r="A8900" s="1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  <c r="P8900"/>
      <c r="Q8900"/>
      <c r="R8900"/>
      <c r="S8900"/>
    </row>
    <row r="8901" spans="1:19" x14ac:dyDescent="0.25">
      <c r="A8901" s="1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  <c r="P8901"/>
      <c r="Q8901"/>
      <c r="R8901"/>
      <c r="S8901"/>
    </row>
    <row r="8902" spans="1:19" x14ac:dyDescent="0.25">
      <c r="A8902" s="1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  <c r="P8902"/>
      <c r="Q8902"/>
      <c r="R8902"/>
      <c r="S8902"/>
    </row>
    <row r="8903" spans="1:19" x14ac:dyDescent="0.25">
      <c r="A8903" s="1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  <c r="P8903"/>
      <c r="Q8903"/>
      <c r="R8903"/>
      <c r="S8903"/>
    </row>
    <row r="8904" spans="1:19" x14ac:dyDescent="0.25">
      <c r="A8904" s="1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  <c r="P8904"/>
      <c r="Q8904"/>
      <c r="R8904"/>
      <c r="S8904"/>
    </row>
    <row r="8905" spans="1:19" x14ac:dyDescent="0.25">
      <c r="A8905" s="1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  <c r="P8905"/>
      <c r="Q8905"/>
      <c r="R8905"/>
      <c r="S8905"/>
    </row>
    <row r="8906" spans="1:19" x14ac:dyDescent="0.25">
      <c r="A8906" s="1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  <c r="P8906"/>
      <c r="Q8906"/>
      <c r="R8906"/>
      <c r="S8906"/>
    </row>
    <row r="8907" spans="1:19" x14ac:dyDescent="0.25">
      <c r="A8907" s="1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  <c r="P8907"/>
      <c r="Q8907"/>
      <c r="R8907"/>
      <c r="S8907"/>
    </row>
    <row r="8908" spans="1:19" x14ac:dyDescent="0.25">
      <c r="A8908" s="1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  <c r="P8908"/>
      <c r="Q8908"/>
      <c r="R8908"/>
      <c r="S8908"/>
    </row>
    <row r="8909" spans="1:19" x14ac:dyDescent="0.25">
      <c r="A8909" s="1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  <c r="P8909"/>
      <c r="Q8909"/>
      <c r="R8909"/>
      <c r="S8909"/>
    </row>
    <row r="8910" spans="1:19" x14ac:dyDescent="0.25">
      <c r="A8910" s="1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  <c r="P8910"/>
      <c r="Q8910"/>
      <c r="R8910"/>
      <c r="S8910"/>
    </row>
    <row r="8911" spans="1:19" x14ac:dyDescent="0.25">
      <c r="A8911" s="1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  <c r="P8911"/>
      <c r="Q8911"/>
      <c r="R8911"/>
      <c r="S8911"/>
    </row>
    <row r="8912" spans="1:19" x14ac:dyDescent="0.25">
      <c r="A8912" s="1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  <c r="P8912"/>
      <c r="Q8912"/>
      <c r="R8912"/>
      <c r="S8912"/>
    </row>
    <row r="8913" spans="1:19" x14ac:dyDescent="0.25">
      <c r="A8913" s="1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  <c r="P8913"/>
      <c r="Q8913"/>
      <c r="R8913"/>
      <c r="S8913"/>
    </row>
    <row r="8914" spans="1:19" x14ac:dyDescent="0.25">
      <c r="A8914" s="1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  <c r="P8914"/>
      <c r="Q8914"/>
      <c r="R8914"/>
      <c r="S8914"/>
    </row>
    <row r="8915" spans="1:19" x14ac:dyDescent="0.25">
      <c r="A8915" s="1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  <c r="P8915"/>
      <c r="Q8915"/>
      <c r="R8915"/>
      <c r="S8915"/>
    </row>
    <row r="8916" spans="1:19" x14ac:dyDescent="0.25">
      <c r="A8916" s="1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  <c r="P8916"/>
      <c r="Q8916"/>
      <c r="R8916"/>
      <c r="S8916"/>
    </row>
    <row r="8917" spans="1:19" x14ac:dyDescent="0.25">
      <c r="A8917" s="1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  <c r="P8917"/>
      <c r="Q8917"/>
      <c r="R8917"/>
      <c r="S8917"/>
    </row>
    <row r="8918" spans="1:19" x14ac:dyDescent="0.25">
      <c r="A8918" s="1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  <c r="P8918"/>
      <c r="Q8918"/>
      <c r="R8918"/>
      <c r="S8918"/>
    </row>
    <row r="8919" spans="1:19" x14ac:dyDescent="0.25">
      <c r="A8919" s="1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  <c r="P8919"/>
      <c r="Q8919"/>
      <c r="R8919"/>
      <c r="S8919"/>
    </row>
    <row r="8920" spans="1:19" x14ac:dyDescent="0.25">
      <c r="A8920" s="1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  <c r="P8920"/>
      <c r="Q8920"/>
      <c r="R8920"/>
      <c r="S8920"/>
    </row>
    <row r="8921" spans="1:19" x14ac:dyDescent="0.25">
      <c r="A8921" s="1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  <c r="P8921"/>
      <c r="Q8921"/>
      <c r="R8921"/>
      <c r="S8921"/>
    </row>
    <row r="8922" spans="1:19" x14ac:dyDescent="0.25">
      <c r="A8922" s="1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  <c r="P8922"/>
      <c r="Q8922"/>
      <c r="R8922"/>
      <c r="S8922"/>
    </row>
    <row r="8923" spans="1:19" x14ac:dyDescent="0.25">
      <c r="A8923" s="1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  <c r="P8923"/>
      <c r="Q8923"/>
      <c r="R8923"/>
      <c r="S8923"/>
    </row>
    <row r="8924" spans="1:19" x14ac:dyDescent="0.25">
      <c r="A8924" s="1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  <c r="P8924"/>
      <c r="Q8924"/>
      <c r="R8924"/>
      <c r="S8924"/>
    </row>
    <row r="8925" spans="1:19" x14ac:dyDescent="0.25">
      <c r="A8925" s="1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  <c r="P8925"/>
      <c r="Q8925"/>
      <c r="R8925"/>
      <c r="S8925"/>
    </row>
    <row r="8926" spans="1:19" x14ac:dyDescent="0.25">
      <c r="A8926" s="1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  <c r="P8926"/>
      <c r="Q8926"/>
      <c r="R8926"/>
      <c r="S8926"/>
    </row>
    <row r="8927" spans="1:19" x14ac:dyDescent="0.25">
      <c r="A8927" s="1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  <c r="P8927"/>
      <c r="Q8927"/>
      <c r="R8927"/>
      <c r="S8927"/>
    </row>
    <row r="8928" spans="1:19" x14ac:dyDescent="0.25">
      <c r="A8928" s="1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  <c r="P8928"/>
      <c r="Q8928"/>
      <c r="R8928"/>
      <c r="S8928"/>
    </row>
    <row r="8929" spans="1:19" x14ac:dyDescent="0.25">
      <c r="A8929" s="1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  <c r="P8929"/>
      <c r="Q8929"/>
      <c r="R8929"/>
      <c r="S8929"/>
    </row>
    <row r="8930" spans="1:19" x14ac:dyDescent="0.25">
      <c r="A8930" s="1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  <c r="P8930"/>
      <c r="Q8930"/>
      <c r="R8930"/>
      <c r="S8930"/>
    </row>
    <row r="8931" spans="1:19" x14ac:dyDescent="0.25">
      <c r="A8931" s="1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  <c r="P8931"/>
      <c r="Q8931"/>
      <c r="R8931"/>
      <c r="S8931"/>
    </row>
    <row r="8932" spans="1:19" x14ac:dyDescent="0.25">
      <c r="A8932" s="1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  <c r="P8932"/>
      <c r="Q8932"/>
      <c r="R8932"/>
      <c r="S8932"/>
    </row>
    <row r="8933" spans="1:19" x14ac:dyDescent="0.25">
      <c r="A8933" s="1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  <c r="P8933"/>
      <c r="Q8933"/>
      <c r="R8933"/>
      <c r="S8933"/>
    </row>
    <row r="8934" spans="1:19" x14ac:dyDescent="0.25">
      <c r="A8934" s="1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  <c r="P8934"/>
      <c r="Q8934"/>
      <c r="R8934"/>
      <c r="S8934"/>
    </row>
    <row r="8935" spans="1:19" x14ac:dyDescent="0.25">
      <c r="A8935" s="1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  <c r="P8935"/>
      <c r="Q8935"/>
      <c r="R8935"/>
      <c r="S8935"/>
    </row>
    <row r="8936" spans="1:19" x14ac:dyDescent="0.25">
      <c r="A8936" s="1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  <c r="P8936"/>
      <c r="Q8936"/>
      <c r="R8936"/>
      <c r="S8936"/>
    </row>
    <row r="8937" spans="1:19" x14ac:dyDescent="0.25">
      <c r="A8937" s="1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  <c r="P8937"/>
      <c r="Q8937"/>
      <c r="R8937"/>
      <c r="S8937"/>
    </row>
    <row r="8938" spans="1:19" x14ac:dyDescent="0.25">
      <c r="A8938" s="1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  <c r="P8938"/>
      <c r="Q8938"/>
      <c r="R8938"/>
      <c r="S8938"/>
    </row>
    <row r="8939" spans="1:19" x14ac:dyDescent="0.25">
      <c r="A8939" s="1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  <c r="P8939"/>
      <c r="Q8939"/>
      <c r="R8939"/>
      <c r="S8939"/>
    </row>
    <row r="8940" spans="1:19" x14ac:dyDescent="0.25">
      <c r="A8940" s="1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  <c r="P8940"/>
      <c r="Q8940"/>
      <c r="R8940"/>
      <c r="S8940"/>
    </row>
    <row r="8941" spans="1:19" x14ac:dyDescent="0.25">
      <c r="A8941" s="1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  <c r="P8941"/>
      <c r="Q8941"/>
      <c r="R8941"/>
      <c r="S8941"/>
    </row>
    <row r="8942" spans="1:19" x14ac:dyDescent="0.25">
      <c r="A8942" s="1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  <c r="P8942"/>
      <c r="Q8942"/>
      <c r="R8942"/>
      <c r="S8942"/>
    </row>
    <row r="8943" spans="1:19" x14ac:dyDescent="0.25">
      <c r="A8943" s="1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  <c r="P8943"/>
      <c r="Q8943"/>
      <c r="R8943"/>
      <c r="S8943"/>
    </row>
    <row r="8944" spans="1:19" x14ac:dyDescent="0.25">
      <c r="A8944" s="1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  <c r="P8944"/>
      <c r="Q8944"/>
      <c r="R8944"/>
      <c r="S8944"/>
    </row>
    <row r="8945" spans="1:19" x14ac:dyDescent="0.25">
      <c r="A8945" s="1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  <c r="P8945"/>
      <c r="Q8945"/>
      <c r="R8945"/>
      <c r="S8945"/>
    </row>
    <row r="8946" spans="1:19" x14ac:dyDescent="0.25">
      <c r="A8946" s="1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  <c r="P8946"/>
      <c r="Q8946"/>
      <c r="R8946"/>
      <c r="S8946"/>
    </row>
    <row r="8947" spans="1:19" x14ac:dyDescent="0.25">
      <c r="A8947" s="1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  <c r="P8947"/>
      <c r="Q8947"/>
      <c r="R8947"/>
      <c r="S8947"/>
    </row>
    <row r="8948" spans="1:19" x14ac:dyDescent="0.25">
      <c r="A8948" s="1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  <c r="P8948"/>
      <c r="Q8948"/>
      <c r="R8948"/>
      <c r="S8948"/>
    </row>
    <row r="8949" spans="1:19" x14ac:dyDescent="0.25">
      <c r="A8949" s="1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  <c r="P8949"/>
      <c r="Q8949"/>
      <c r="R8949"/>
      <c r="S8949"/>
    </row>
    <row r="8950" spans="1:19" x14ac:dyDescent="0.25">
      <c r="A8950" s="1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  <c r="P8950"/>
      <c r="Q8950"/>
      <c r="R8950"/>
      <c r="S8950"/>
    </row>
    <row r="8951" spans="1:19" x14ac:dyDescent="0.25">
      <c r="A8951" s="1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  <c r="P8951"/>
      <c r="Q8951"/>
      <c r="R8951"/>
      <c r="S8951"/>
    </row>
    <row r="8952" spans="1:19" x14ac:dyDescent="0.25">
      <c r="A8952" s="1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  <c r="P8952"/>
      <c r="Q8952"/>
      <c r="R8952"/>
      <c r="S8952"/>
    </row>
    <row r="8953" spans="1:19" x14ac:dyDescent="0.25">
      <c r="A8953" s="1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  <c r="P8953"/>
      <c r="Q8953"/>
      <c r="R8953"/>
      <c r="S8953"/>
    </row>
    <row r="8954" spans="1:19" x14ac:dyDescent="0.25">
      <c r="A8954" s="1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  <c r="P8954"/>
      <c r="Q8954"/>
      <c r="R8954"/>
      <c r="S8954"/>
    </row>
    <row r="8955" spans="1:19" x14ac:dyDescent="0.25">
      <c r="A8955" s="1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  <c r="P8955"/>
      <c r="Q8955"/>
      <c r="R8955"/>
      <c r="S8955"/>
    </row>
    <row r="8956" spans="1:19" x14ac:dyDescent="0.25">
      <c r="A8956" s="1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  <c r="P8956"/>
      <c r="Q8956"/>
      <c r="R8956"/>
      <c r="S8956"/>
    </row>
    <row r="8957" spans="1:19" x14ac:dyDescent="0.25">
      <c r="A8957" s="1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  <c r="P8957"/>
      <c r="Q8957"/>
      <c r="R8957"/>
      <c r="S8957"/>
    </row>
    <row r="8958" spans="1:19" x14ac:dyDescent="0.25">
      <c r="A8958" s="1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  <c r="P8958"/>
      <c r="Q8958"/>
      <c r="R8958"/>
      <c r="S8958"/>
    </row>
    <row r="8959" spans="1:19" x14ac:dyDescent="0.25">
      <c r="A8959" s="1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  <c r="P8959"/>
      <c r="Q8959"/>
      <c r="R8959"/>
      <c r="S8959"/>
    </row>
    <row r="8960" spans="1:19" x14ac:dyDescent="0.25">
      <c r="A8960" s="1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  <c r="P8960"/>
      <c r="Q8960"/>
      <c r="R8960"/>
      <c r="S8960"/>
    </row>
    <row r="8961" spans="1:19" x14ac:dyDescent="0.25">
      <c r="A8961" s="1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  <c r="P8961"/>
      <c r="Q8961"/>
      <c r="R8961"/>
      <c r="S8961"/>
    </row>
    <row r="8962" spans="1:19" x14ac:dyDescent="0.25">
      <c r="A8962" s="1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  <c r="P8962"/>
      <c r="Q8962"/>
      <c r="R8962"/>
      <c r="S8962"/>
    </row>
    <row r="8963" spans="1:19" x14ac:dyDescent="0.25">
      <c r="A8963" s="1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  <c r="P8963"/>
      <c r="Q8963"/>
      <c r="R8963"/>
      <c r="S8963"/>
    </row>
    <row r="8964" spans="1:19" x14ac:dyDescent="0.25">
      <c r="A8964" s="1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  <c r="P8964"/>
      <c r="Q8964"/>
      <c r="R8964"/>
      <c r="S8964"/>
    </row>
    <row r="8965" spans="1:19" x14ac:dyDescent="0.25">
      <c r="A8965" s="1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  <c r="P8965"/>
      <c r="Q8965"/>
      <c r="R8965"/>
      <c r="S8965"/>
    </row>
    <row r="8966" spans="1:19" x14ac:dyDescent="0.25">
      <c r="A8966" s="1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  <c r="P8966"/>
      <c r="Q8966"/>
      <c r="R8966"/>
      <c r="S8966"/>
    </row>
    <row r="8967" spans="1:19" x14ac:dyDescent="0.25">
      <c r="A8967" s="1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  <c r="P8967"/>
      <c r="Q8967"/>
      <c r="R8967"/>
      <c r="S8967"/>
    </row>
    <row r="8968" spans="1:19" x14ac:dyDescent="0.25">
      <c r="A8968" s="1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  <c r="P8968"/>
      <c r="Q8968"/>
      <c r="R8968"/>
      <c r="S8968"/>
    </row>
    <row r="8969" spans="1:19" x14ac:dyDescent="0.25">
      <c r="A8969" s="1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  <c r="P8969"/>
      <c r="Q8969"/>
      <c r="R8969"/>
      <c r="S8969"/>
    </row>
    <row r="8970" spans="1:19" x14ac:dyDescent="0.25">
      <c r="A8970" s="1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  <c r="P8970"/>
      <c r="Q8970"/>
      <c r="R8970"/>
      <c r="S8970"/>
    </row>
    <row r="8971" spans="1:19" x14ac:dyDescent="0.25">
      <c r="A8971" s="1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  <c r="P8971"/>
      <c r="Q8971"/>
      <c r="R8971"/>
      <c r="S8971"/>
    </row>
    <row r="8972" spans="1:19" x14ac:dyDescent="0.25">
      <c r="A8972" s="1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  <c r="P8972"/>
      <c r="Q8972"/>
      <c r="R8972"/>
      <c r="S8972"/>
    </row>
    <row r="8973" spans="1:19" x14ac:dyDescent="0.25">
      <c r="A8973" s="1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  <c r="P8973"/>
      <c r="Q8973"/>
      <c r="R8973"/>
      <c r="S8973"/>
    </row>
    <row r="8974" spans="1:19" x14ac:dyDescent="0.25">
      <c r="A8974" s="1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  <c r="P8974"/>
      <c r="Q8974"/>
      <c r="R8974"/>
      <c r="S8974"/>
    </row>
    <row r="8975" spans="1:19" x14ac:dyDescent="0.25">
      <c r="A8975" s="1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  <c r="P8975"/>
      <c r="Q8975"/>
      <c r="R8975"/>
      <c r="S8975"/>
    </row>
    <row r="8976" spans="1:19" x14ac:dyDescent="0.25">
      <c r="A8976" s="1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  <c r="P8976"/>
      <c r="Q8976"/>
      <c r="R8976"/>
      <c r="S8976"/>
    </row>
    <row r="8977" spans="1:19" x14ac:dyDescent="0.25">
      <c r="A8977" s="1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  <c r="P8977"/>
      <c r="Q8977"/>
      <c r="R8977"/>
      <c r="S8977"/>
    </row>
    <row r="8978" spans="1:19" x14ac:dyDescent="0.25">
      <c r="A8978" s="1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  <c r="P8978"/>
      <c r="Q8978"/>
      <c r="R8978"/>
      <c r="S8978"/>
    </row>
    <row r="8979" spans="1:19" x14ac:dyDescent="0.25">
      <c r="A8979" s="1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  <c r="P8979"/>
      <c r="Q8979"/>
      <c r="R8979"/>
      <c r="S8979"/>
    </row>
    <row r="8980" spans="1:19" x14ac:dyDescent="0.25">
      <c r="A8980" s="1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  <c r="P8980"/>
      <c r="Q8980"/>
      <c r="R8980"/>
      <c r="S8980"/>
    </row>
    <row r="8981" spans="1:19" x14ac:dyDescent="0.25">
      <c r="A8981" s="1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  <c r="P8981"/>
      <c r="Q8981"/>
      <c r="R8981"/>
      <c r="S8981"/>
    </row>
    <row r="8982" spans="1:19" x14ac:dyDescent="0.25">
      <c r="A8982" s="1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  <c r="P8982"/>
      <c r="Q8982"/>
      <c r="R8982"/>
      <c r="S8982"/>
    </row>
    <row r="8983" spans="1:19" x14ac:dyDescent="0.25">
      <c r="A8983" s="1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  <c r="P8983"/>
      <c r="Q8983"/>
      <c r="R8983"/>
      <c r="S8983"/>
    </row>
    <row r="8984" spans="1:19" x14ac:dyDescent="0.25">
      <c r="A8984" s="1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  <c r="P8984"/>
      <c r="Q8984"/>
      <c r="R8984"/>
      <c r="S8984"/>
    </row>
    <row r="8985" spans="1:19" x14ac:dyDescent="0.25">
      <c r="A8985" s="1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  <c r="P8985"/>
      <c r="Q8985"/>
      <c r="R8985"/>
      <c r="S8985"/>
    </row>
    <row r="8986" spans="1:19" x14ac:dyDescent="0.25">
      <c r="A8986" s="1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  <c r="P8986"/>
      <c r="Q8986"/>
      <c r="R8986"/>
      <c r="S8986"/>
    </row>
    <row r="8987" spans="1:19" x14ac:dyDescent="0.25">
      <c r="A8987" s="1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  <c r="P8987"/>
      <c r="Q8987"/>
      <c r="R8987"/>
      <c r="S8987"/>
    </row>
    <row r="8988" spans="1:19" x14ac:dyDescent="0.25">
      <c r="A8988" s="1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  <c r="P8988"/>
      <c r="Q8988"/>
      <c r="R8988"/>
      <c r="S8988"/>
    </row>
    <row r="8989" spans="1:19" x14ac:dyDescent="0.25">
      <c r="A8989" s="1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  <c r="P8989"/>
      <c r="Q8989"/>
      <c r="R8989"/>
      <c r="S8989"/>
    </row>
    <row r="8990" spans="1:19" x14ac:dyDescent="0.25">
      <c r="A8990" s="1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  <c r="P8990"/>
      <c r="Q8990"/>
      <c r="R8990"/>
      <c r="S8990"/>
    </row>
    <row r="8991" spans="1:19" x14ac:dyDescent="0.25">
      <c r="A8991" s="1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  <c r="P8991"/>
      <c r="Q8991"/>
      <c r="R8991"/>
      <c r="S8991"/>
    </row>
    <row r="8992" spans="1:19" x14ac:dyDescent="0.25">
      <c r="A8992" s="1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  <c r="P8992"/>
      <c r="Q8992"/>
      <c r="R8992"/>
      <c r="S8992"/>
    </row>
    <row r="8993" spans="1:19" x14ac:dyDescent="0.25">
      <c r="A8993" s="1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  <c r="P8993"/>
      <c r="Q8993"/>
      <c r="R8993"/>
      <c r="S8993"/>
    </row>
    <row r="8994" spans="1:19" x14ac:dyDescent="0.25">
      <c r="A8994" s="1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  <c r="P8994"/>
      <c r="Q8994"/>
      <c r="R8994"/>
      <c r="S8994"/>
    </row>
    <row r="8995" spans="1:19" x14ac:dyDescent="0.25">
      <c r="A8995" s="1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  <c r="P8995"/>
      <c r="Q8995"/>
      <c r="R8995"/>
      <c r="S8995"/>
    </row>
    <row r="8996" spans="1:19" x14ac:dyDescent="0.25">
      <c r="A8996" s="1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  <c r="P8996"/>
      <c r="Q8996"/>
      <c r="R8996"/>
      <c r="S8996"/>
    </row>
    <row r="8997" spans="1:19" x14ac:dyDescent="0.25">
      <c r="A8997" s="1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  <c r="P8997"/>
      <c r="Q8997"/>
      <c r="R8997"/>
      <c r="S8997"/>
    </row>
    <row r="8998" spans="1:19" x14ac:dyDescent="0.25">
      <c r="A8998" s="1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  <c r="P8998"/>
      <c r="Q8998"/>
      <c r="R8998"/>
      <c r="S8998"/>
    </row>
    <row r="8999" spans="1:19" x14ac:dyDescent="0.25">
      <c r="A8999" s="1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  <c r="P8999"/>
      <c r="Q8999"/>
      <c r="R8999"/>
      <c r="S8999"/>
    </row>
    <row r="9000" spans="1:19" x14ac:dyDescent="0.25">
      <c r="A9000" s="1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  <c r="P9000"/>
      <c r="Q9000"/>
      <c r="R9000"/>
      <c r="S9000"/>
    </row>
    <row r="9001" spans="1:19" x14ac:dyDescent="0.25">
      <c r="A9001" s="1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  <c r="P9001"/>
      <c r="Q9001"/>
      <c r="R9001"/>
      <c r="S9001"/>
    </row>
    <row r="9002" spans="1:19" x14ac:dyDescent="0.25">
      <c r="A9002" s="1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  <c r="P9002"/>
      <c r="Q9002"/>
      <c r="R9002"/>
      <c r="S9002"/>
    </row>
    <row r="9003" spans="1:19" x14ac:dyDescent="0.25">
      <c r="A9003" s="1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  <c r="P9003"/>
      <c r="Q9003"/>
      <c r="R9003"/>
      <c r="S9003"/>
    </row>
    <row r="9004" spans="1:19" x14ac:dyDescent="0.25">
      <c r="A9004" s="1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  <c r="P9004"/>
      <c r="Q9004"/>
      <c r="R9004"/>
      <c r="S9004"/>
    </row>
    <row r="9005" spans="1:19" x14ac:dyDescent="0.25">
      <c r="A9005" s="1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  <c r="P9005"/>
      <c r="Q9005"/>
      <c r="R9005"/>
      <c r="S9005"/>
    </row>
    <row r="9006" spans="1:19" x14ac:dyDescent="0.25">
      <c r="A9006" s="1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  <c r="P9006"/>
      <c r="Q9006"/>
      <c r="R9006"/>
      <c r="S9006"/>
    </row>
    <row r="9007" spans="1:19" x14ac:dyDescent="0.25">
      <c r="A9007" s="1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  <c r="P9007"/>
      <c r="Q9007"/>
      <c r="R9007"/>
      <c r="S9007"/>
    </row>
    <row r="9008" spans="1:19" x14ac:dyDescent="0.25">
      <c r="A9008" s="1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  <c r="P9008"/>
      <c r="Q9008"/>
      <c r="R9008"/>
      <c r="S9008"/>
    </row>
    <row r="9009" spans="1:19" x14ac:dyDescent="0.25">
      <c r="A9009" s="1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  <c r="P9009"/>
      <c r="Q9009"/>
      <c r="R9009"/>
      <c r="S9009"/>
    </row>
    <row r="9010" spans="1:19" x14ac:dyDescent="0.25">
      <c r="A9010" s="1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  <c r="P9010"/>
      <c r="Q9010"/>
      <c r="R9010"/>
      <c r="S9010"/>
    </row>
    <row r="9011" spans="1:19" x14ac:dyDescent="0.25">
      <c r="A9011" s="1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  <c r="P9011"/>
      <c r="Q9011"/>
      <c r="R9011"/>
      <c r="S9011"/>
    </row>
    <row r="9012" spans="1:19" x14ac:dyDescent="0.25">
      <c r="A9012" s="1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  <c r="P9012"/>
      <c r="Q9012"/>
      <c r="R9012"/>
      <c r="S9012"/>
    </row>
    <row r="9013" spans="1:19" x14ac:dyDescent="0.25">
      <c r="A9013" s="1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  <c r="P9013"/>
      <c r="Q9013"/>
      <c r="R9013"/>
      <c r="S9013"/>
    </row>
    <row r="9014" spans="1:19" x14ac:dyDescent="0.25">
      <c r="A9014" s="1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  <c r="P9014"/>
      <c r="Q9014"/>
      <c r="R9014"/>
      <c r="S9014"/>
    </row>
    <row r="9015" spans="1:19" x14ac:dyDescent="0.25">
      <c r="A9015" s="1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  <c r="P9015"/>
      <c r="Q9015"/>
      <c r="R9015"/>
      <c r="S9015"/>
    </row>
    <row r="9016" spans="1:19" x14ac:dyDescent="0.25">
      <c r="A9016" s="1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  <c r="P9016"/>
      <c r="Q9016"/>
      <c r="R9016"/>
      <c r="S9016"/>
    </row>
    <row r="9017" spans="1:19" x14ac:dyDescent="0.25">
      <c r="A9017" s="1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  <c r="P9017"/>
      <c r="Q9017"/>
      <c r="R9017"/>
      <c r="S9017"/>
    </row>
    <row r="9018" spans="1:19" x14ac:dyDescent="0.25">
      <c r="A9018" s="1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  <c r="P9018"/>
      <c r="Q9018"/>
      <c r="R9018"/>
      <c r="S9018"/>
    </row>
    <row r="9019" spans="1:19" x14ac:dyDescent="0.25">
      <c r="A9019" s="1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  <c r="P9019"/>
      <c r="Q9019"/>
      <c r="R9019"/>
      <c r="S9019"/>
    </row>
    <row r="9020" spans="1:19" x14ac:dyDescent="0.25">
      <c r="A9020" s="1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  <c r="P9020"/>
      <c r="Q9020"/>
      <c r="R9020"/>
      <c r="S9020"/>
    </row>
    <row r="9021" spans="1:19" x14ac:dyDescent="0.25">
      <c r="A9021" s="1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  <c r="P9021"/>
      <c r="Q9021"/>
      <c r="R9021"/>
      <c r="S9021"/>
    </row>
    <row r="9022" spans="1:19" x14ac:dyDescent="0.25">
      <c r="A9022" s="1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  <c r="P9022"/>
      <c r="Q9022"/>
      <c r="R9022"/>
      <c r="S9022"/>
    </row>
    <row r="9023" spans="1:19" x14ac:dyDescent="0.25">
      <c r="A9023" s="1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  <c r="P9023"/>
      <c r="Q9023"/>
      <c r="R9023"/>
      <c r="S9023"/>
    </row>
    <row r="9024" spans="1:19" x14ac:dyDescent="0.25">
      <c r="A9024" s="1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  <c r="P9024"/>
      <c r="Q9024"/>
      <c r="R9024"/>
      <c r="S9024"/>
    </row>
    <row r="9025" spans="1:19" x14ac:dyDescent="0.25">
      <c r="A9025" s="1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  <c r="P9025"/>
      <c r="Q9025"/>
      <c r="R9025"/>
      <c r="S9025"/>
    </row>
    <row r="9026" spans="1:19" x14ac:dyDescent="0.25">
      <c r="A9026" s="1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  <c r="P9026"/>
      <c r="Q9026"/>
      <c r="R9026"/>
      <c r="S9026"/>
    </row>
    <row r="9027" spans="1:19" x14ac:dyDescent="0.25">
      <c r="A9027" s="1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  <c r="P9027"/>
      <c r="Q9027"/>
      <c r="R9027"/>
      <c r="S9027"/>
    </row>
    <row r="9028" spans="1:19" x14ac:dyDescent="0.25">
      <c r="A9028" s="1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  <c r="P9028"/>
      <c r="Q9028"/>
      <c r="R9028"/>
      <c r="S9028"/>
    </row>
    <row r="9029" spans="1:19" x14ac:dyDescent="0.25">
      <c r="A9029" s="1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  <c r="P9029"/>
      <c r="Q9029"/>
      <c r="R9029"/>
      <c r="S9029"/>
    </row>
    <row r="9030" spans="1:19" x14ac:dyDescent="0.25">
      <c r="A9030" s="1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  <c r="P9030"/>
      <c r="Q9030"/>
      <c r="R9030"/>
      <c r="S9030"/>
    </row>
    <row r="9031" spans="1:19" x14ac:dyDescent="0.25">
      <c r="A9031" s="1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  <c r="P9031"/>
      <c r="Q9031"/>
      <c r="R9031"/>
      <c r="S9031"/>
    </row>
    <row r="9032" spans="1:19" x14ac:dyDescent="0.25">
      <c r="A9032" s="1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  <c r="P9032"/>
      <c r="Q9032"/>
      <c r="R9032"/>
      <c r="S9032"/>
    </row>
    <row r="9033" spans="1:19" x14ac:dyDescent="0.25">
      <c r="A9033" s="1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  <c r="P9033"/>
      <c r="Q9033"/>
      <c r="R9033"/>
      <c r="S9033"/>
    </row>
    <row r="9034" spans="1:19" x14ac:dyDescent="0.25">
      <c r="A9034" s="1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  <c r="P9034"/>
      <c r="Q9034"/>
      <c r="R9034"/>
      <c r="S9034"/>
    </row>
    <row r="9035" spans="1:19" x14ac:dyDescent="0.25">
      <c r="A9035" s="1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  <c r="P9035"/>
      <c r="Q9035"/>
      <c r="R9035"/>
      <c r="S9035"/>
    </row>
    <row r="9036" spans="1:19" x14ac:dyDescent="0.25">
      <c r="A9036" s="1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  <c r="P9036"/>
      <c r="Q9036"/>
      <c r="R9036"/>
      <c r="S9036"/>
    </row>
    <row r="9037" spans="1:19" x14ac:dyDescent="0.25">
      <c r="A9037" s="1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  <c r="P9037"/>
      <c r="Q9037"/>
      <c r="R9037"/>
      <c r="S9037"/>
    </row>
    <row r="9038" spans="1:19" x14ac:dyDescent="0.25">
      <c r="A9038" s="1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  <c r="P9038"/>
      <c r="Q9038"/>
      <c r="R9038"/>
      <c r="S9038"/>
    </row>
    <row r="9039" spans="1:19" x14ac:dyDescent="0.25">
      <c r="A9039" s="1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  <c r="P9039"/>
      <c r="Q9039"/>
      <c r="R9039"/>
      <c r="S9039"/>
    </row>
    <row r="9040" spans="1:19" x14ac:dyDescent="0.25">
      <c r="A9040" s="1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  <c r="P9040"/>
      <c r="Q9040"/>
      <c r="R9040"/>
      <c r="S9040"/>
    </row>
    <row r="9041" spans="1:19" x14ac:dyDescent="0.25">
      <c r="A9041" s="1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  <c r="P9041"/>
      <c r="Q9041"/>
      <c r="R9041"/>
      <c r="S9041"/>
    </row>
    <row r="9042" spans="1:19" x14ac:dyDescent="0.25">
      <c r="A9042" s="1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  <c r="P9042"/>
      <c r="Q9042"/>
      <c r="R9042"/>
      <c r="S9042"/>
    </row>
    <row r="9043" spans="1:19" x14ac:dyDescent="0.25">
      <c r="A9043" s="1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  <c r="P9043"/>
      <c r="Q9043"/>
      <c r="R9043"/>
      <c r="S9043"/>
    </row>
    <row r="9044" spans="1:19" x14ac:dyDescent="0.25">
      <c r="A9044" s="1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  <c r="P9044"/>
      <c r="Q9044"/>
      <c r="R9044"/>
      <c r="S9044"/>
    </row>
    <row r="9045" spans="1:19" x14ac:dyDescent="0.25">
      <c r="A9045" s="1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  <c r="P9045"/>
      <c r="Q9045"/>
      <c r="R9045"/>
      <c r="S9045"/>
    </row>
    <row r="9046" spans="1:19" x14ac:dyDescent="0.25">
      <c r="A9046" s="1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  <c r="P9046"/>
      <c r="Q9046"/>
      <c r="R9046"/>
      <c r="S9046"/>
    </row>
    <row r="9047" spans="1:19" x14ac:dyDescent="0.25">
      <c r="A9047" s="1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  <c r="P9047"/>
      <c r="Q9047"/>
      <c r="R9047"/>
      <c r="S9047"/>
    </row>
    <row r="9048" spans="1:19" x14ac:dyDescent="0.25">
      <c r="A9048" s="1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  <c r="P9048"/>
      <c r="Q9048"/>
      <c r="R9048"/>
      <c r="S9048"/>
    </row>
    <row r="9049" spans="1:19" x14ac:dyDescent="0.25">
      <c r="A9049" s="1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  <c r="P9049"/>
      <c r="Q9049"/>
      <c r="R9049"/>
      <c r="S9049"/>
    </row>
    <row r="9050" spans="1:19" x14ac:dyDescent="0.25">
      <c r="A9050" s="1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  <c r="P9050"/>
      <c r="Q9050"/>
      <c r="R9050"/>
      <c r="S9050"/>
    </row>
    <row r="9051" spans="1:19" x14ac:dyDescent="0.25">
      <c r="A9051" s="1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  <c r="P9051"/>
      <c r="Q9051"/>
      <c r="R9051"/>
      <c r="S9051"/>
    </row>
    <row r="9052" spans="1:19" x14ac:dyDescent="0.25">
      <c r="A9052" s="1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  <c r="P9052"/>
      <c r="Q9052"/>
      <c r="R9052"/>
      <c r="S9052"/>
    </row>
    <row r="9053" spans="1:19" x14ac:dyDescent="0.25">
      <c r="A9053" s="1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  <c r="P9053"/>
      <c r="Q9053"/>
      <c r="R9053"/>
      <c r="S9053"/>
    </row>
    <row r="9054" spans="1:19" x14ac:dyDescent="0.25">
      <c r="A9054" s="1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  <c r="P9054"/>
      <c r="Q9054"/>
      <c r="R9054"/>
      <c r="S9054"/>
    </row>
    <row r="9055" spans="1:19" x14ac:dyDescent="0.25">
      <c r="A9055" s="1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  <c r="P9055"/>
      <c r="Q9055"/>
      <c r="R9055"/>
      <c r="S9055"/>
    </row>
    <row r="9056" spans="1:19" x14ac:dyDescent="0.25">
      <c r="A9056" s="1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  <c r="P9056"/>
      <c r="Q9056"/>
      <c r="R9056"/>
      <c r="S9056"/>
    </row>
    <row r="9057" spans="1:19" x14ac:dyDescent="0.25">
      <c r="A9057" s="1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  <c r="P9057"/>
      <c r="Q9057"/>
      <c r="R9057"/>
      <c r="S9057"/>
    </row>
    <row r="9058" spans="1:19" x14ac:dyDescent="0.25">
      <c r="A9058" s="1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  <c r="P9058"/>
      <c r="Q9058"/>
      <c r="R9058"/>
      <c r="S9058"/>
    </row>
    <row r="9059" spans="1:19" x14ac:dyDescent="0.25">
      <c r="A9059" s="1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  <c r="P9059"/>
      <c r="Q9059"/>
      <c r="R9059"/>
      <c r="S9059"/>
    </row>
    <row r="9060" spans="1:19" x14ac:dyDescent="0.25">
      <c r="A9060" s="1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  <c r="P9060"/>
      <c r="Q9060"/>
      <c r="R9060"/>
      <c r="S9060"/>
    </row>
    <row r="9061" spans="1:19" x14ac:dyDescent="0.25">
      <c r="A9061" s="1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  <c r="P9061"/>
      <c r="Q9061"/>
      <c r="R9061"/>
      <c r="S9061"/>
    </row>
    <row r="9062" spans="1:19" x14ac:dyDescent="0.25">
      <c r="A9062" s="1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  <c r="P9062"/>
      <c r="Q9062"/>
      <c r="R9062"/>
      <c r="S9062"/>
    </row>
    <row r="9063" spans="1:19" x14ac:dyDescent="0.25">
      <c r="A9063" s="1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  <c r="P9063"/>
      <c r="Q9063"/>
      <c r="R9063"/>
      <c r="S9063"/>
    </row>
    <row r="9064" spans="1:19" x14ac:dyDescent="0.25">
      <c r="A9064" s="1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  <c r="P9064"/>
      <c r="Q9064"/>
      <c r="R9064"/>
      <c r="S9064"/>
    </row>
    <row r="9065" spans="1:19" x14ac:dyDescent="0.25">
      <c r="A9065" s="1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  <c r="P9065"/>
      <c r="Q9065"/>
      <c r="R9065"/>
      <c r="S9065"/>
    </row>
    <row r="9066" spans="1:19" x14ac:dyDescent="0.25">
      <c r="A9066" s="1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  <c r="P9066"/>
      <c r="Q9066"/>
      <c r="R9066"/>
      <c r="S9066"/>
    </row>
    <row r="9067" spans="1:19" x14ac:dyDescent="0.25">
      <c r="A9067" s="1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  <c r="P9067"/>
      <c r="Q9067"/>
      <c r="R9067"/>
      <c r="S9067"/>
    </row>
    <row r="9068" spans="1:19" x14ac:dyDescent="0.25">
      <c r="A9068" s="1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  <c r="P9068"/>
      <c r="Q9068"/>
      <c r="R9068"/>
      <c r="S9068"/>
    </row>
    <row r="9069" spans="1:19" x14ac:dyDescent="0.25">
      <c r="A9069" s="1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  <c r="P9069"/>
      <c r="Q9069"/>
      <c r="R9069"/>
      <c r="S9069"/>
    </row>
    <row r="9070" spans="1:19" x14ac:dyDescent="0.25">
      <c r="A9070" s="1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  <c r="P9070"/>
      <c r="Q9070"/>
      <c r="R9070"/>
      <c r="S9070"/>
    </row>
    <row r="9071" spans="1:19" x14ac:dyDescent="0.25">
      <c r="A9071" s="1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  <c r="P9071"/>
      <c r="Q9071"/>
      <c r="R9071"/>
      <c r="S9071"/>
    </row>
    <row r="9072" spans="1:19" x14ac:dyDescent="0.25">
      <c r="A9072" s="1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  <c r="P9072"/>
      <c r="Q9072"/>
      <c r="R9072"/>
      <c r="S9072"/>
    </row>
    <row r="9073" spans="1:19" x14ac:dyDescent="0.25">
      <c r="A9073" s="1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  <c r="P9073"/>
      <c r="Q9073"/>
      <c r="R9073"/>
      <c r="S9073"/>
    </row>
    <row r="9074" spans="1:19" x14ac:dyDescent="0.25">
      <c r="A9074" s="1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  <c r="P9074"/>
      <c r="Q9074"/>
      <c r="R9074"/>
      <c r="S9074"/>
    </row>
    <row r="9075" spans="1:19" x14ac:dyDescent="0.25">
      <c r="A9075" s="1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  <c r="P9075"/>
      <c r="Q9075"/>
      <c r="R9075"/>
      <c r="S9075"/>
    </row>
    <row r="9076" spans="1:19" x14ac:dyDescent="0.25">
      <c r="A9076" s="1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  <c r="P9076"/>
      <c r="Q9076"/>
      <c r="R9076"/>
      <c r="S9076"/>
    </row>
    <row r="9077" spans="1:19" x14ac:dyDescent="0.25">
      <c r="A9077" s="1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  <c r="P9077"/>
      <c r="Q9077"/>
      <c r="R9077"/>
      <c r="S9077"/>
    </row>
    <row r="9078" spans="1:19" x14ac:dyDescent="0.25">
      <c r="A9078" s="1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  <c r="P9078"/>
      <c r="Q9078"/>
      <c r="R9078"/>
      <c r="S9078"/>
    </row>
    <row r="9079" spans="1:19" x14ac:dyDescent="0.25">
      <c r="A9079" s="1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  <c r="P9079"/>
      <c r="Q9079"/>
      <c r="R9079"/>
      <c r="S9079"/>
    </row>
    <row r="9080" spans="1:19" x14ac:dyDescent="0.25">
      <c r="A9080" s="1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  <c r="P9080"/>
      <c r="Q9080"/>
      <c r="R9080"/>
      <c r="S9080"/>
    </row>
    <row r="9081" spans="1:19" x14ac:dyDescent="0.25">
      <c r="A9081" s="1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  <c r="P9081"/>
      <c r="Q9081"/>
      <c r="R9081"/>
      <c r="S9081"/>
    </row>
    <row r="9082" spans="1:19" x14ac:dyDescent="0.25">
      <c r="A9082" s="1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  <c r="P9082"/>
      <c r="Q9082"/>
      <c r="R9082"/>
      <c r="S9082"/>
    </row>
    <row r="9083" spans="1:19" x14ac:dyDescent="0.25">
      <c r="A9083" s="1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  <c r="P9083"/>
      <c r="Q9083"/>
      <c r="R9083"/>
      <c r="S9083"/>
    </row>
    <row r="9084" spans="1:19" x14ac:dyDescent="0.25">
      <c r="A9084" s="1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  <c r="P9084"/>
      <c r="Q9084"/>
      <c r="R9084"/>
      <c r="S9084"/>
    </row>
    <row r="9085" spans="1:19" x14ac:dyDescent="0.25">
      <c r="A9085" s="1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  <c r="P9085"/>
      <c r="Q9085"/>
      <c r="R9085"/>
      <c r="S9085"/>
    </row>
    <row r="9086" spans="1:19" x14ac:dyDescent="0.25">
      <c r="A9086" s="1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  <c r="P9086"/>
      <c r="Q9086"/>
      <c r="R9086"/>
      <c r="S9086"/>
    </row>
    <row r="9087" spans="1:19" x14ac:dyDescent="0.25">
      <c r="A9087" s="1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  <c r="P9087"/>
      <c r="Q9087"/>
      <c r="R9087"/>
      <c r="S9087"/>
    </row>
    <row r="9088" spans="1:19" x14ac:dyDescent="0.25">
      <c r="A9088" s="1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  <c r="P9088"/>
      <c r="Q9088"/>
      <c r="R9088"/>
      <c r="S9088"/>
    </row>
    <row r="9089" spans="1:19" x14ac:dyDescent="0.25">
      <c r="A9089" s="1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  <c r="P9089"/>
      <c r="Q9089"/>
      <c r="R9089"/>
      <c r="S9089"/>
    </row>
    <row r="9090" spans="1:19" x14ac:dyDescent="0.25">
      <c r="A9090" s="1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  <c r="P9090"/>
      <c r="Q9090"/>
      <c r="R9090"/>
      <c r="S9090"/>
    </row>
    <row r="9091" spans="1:19" x14ac:dyDescent="0.25">
      <c r="A9091" s="1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  <c r="P9091"/>
      <c r="Q9091"/>
      <c r="R9091"/>
      <c r="S9091"/>
    </row>
    <row r="9092" spans="1:19" x14ac:dyDescent="0.25">
      <c r="A9092" s="1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  <c r="P9092"/>
      <c r="Q9092"/>
      <c r="R9092"/>
      <c r="S9092"/>
    </row>
    <row r="9093" spans="1:19" x14ac:dyDescent="0.25">
      <c r="A9093" s="1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  <c r="P9093"/>
      <c r="Q9093"/>
      <c r="R9093"/>
      <c r="S9093"/>
    </row>
    <row r="9094" spans="1:19" x14ac:dyDescent="0.25">
      <c r="A9094" s="1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  <c r="P9094"/>
      <c r="Q9094"/>
      <c r="R9094"/>
      <c r="S9094"/>
    </row>
    <row r="9095" spans="1:19" x14ac:dyDescent="0.25">
      <c r="A9095" s="1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  <c r="P9095"/>
      <c r="Q9095"/>
      <c r="R9095"/>
      <c r="S9095"/>
    </row>
    <row r="9096" spans="1:19" x14ac:dyDescent="0.25">
      <c r="A9096" s="1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  <c r="P9096"/>
      <c r="Q9096"/>
      <c r="R9096"/>
      <c r="S9096"/>
    </row>
    <row r="9097" spans="1:19" x14ac:dyDescent="0.25">
      <c r="A9097" s="1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  <c r="P9097"/>
      <c r="Q9097"/>
      <c r="R9097"/>
      <c r="S9097"/>
    </row>
    <row r="9098" spans="1:19" x14ac:dyDescent="0.25">
      <c r="A9098" s="1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  <c r="P9098"/>
      <c r="Q9098"/>
      <c r="R9098"/>
      <c r="S9098"/>
    </row>
    <row r="9099" spans="1:19" x14ac:dyDescent="0.25">
      <c r="A9099" s="1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  <c r="P9099"/>
      <c r="Q9099"/>
      <c r="R9099"/>
      <c r="S9099"/>
    </row>
    <row r="9100" spans="1:19" x14ac:dyDescent="0.25">
      <c r="A9100" s="1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  <c r="P9100"/>
      <c r="Q9100"/>
      <c r="R9100"/>
      <c r="S9100"/>
    </row>
    <row r="9101" spans="1:19" x14ac:dyDescent="0.25">
      <c r="A9101" s="1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  <c r="P9101"/>
      <c r="Q9101"/>
      <c r="R9101"/>
      <c r="S9101"/>
    </row>
    <row r="9102" spans="1:19" x14ac:dyDescent="0.25">
      <c r="A9102" s="1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  <c r="P9102"/>
      <c r="Q9102"/>
      <c r="R9102"/>
      <c r="S9102"/>
    </row>
    <row r="9103" spans="1:19" x14ac:dyDescent="0.25">
      <c r="A9103" s="1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  <c r="P9103"/>
      <c r="Q9103"/>
      <c r="R9103"/>
      <c r="S9103"/>
    </row>
    <row r="9104" spans="1:19" x14ac:dyDescent="0.25">
      <c r="A9104" s="1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  <c r="P9104"/>
      <c r="Q9104"/>
      <c r="R9104"/>
      <c r="S9104"/>
    </row>
    <row r="9105" spans="1:19" x14ac:dyDescent="0.25">
      <c r="A9105" s="1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  <c r="P9105"/>
      <c r="Q9105"/>
      <c r="R9105"/>
      <c r="S9105"/>
    </row>
    <row r="9106" spans="1:19" x14ac:dyDescent="0.25">
      <c r="A9106" s="1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  <c r="P9106"/>
      <c r="Q9106"/>
      <c r="R9106"/>
      <c r="S9106"/>
    </row>
    <row r="9107" spans="1:19" x14ac:dyDescent="0.25">
      <c r="A9107" s="1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  <c r="P9107"/>
      <c r="Q9107"/>
      <c r="R9107"/>
      <c r="S9107"/>
    </row>
    <row r="9108" spans="1:19" x14ac:dyDescent="0.25">
      <c r="A9108" s="1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  <c r="P9108"/>
      <c r="Q9108"/>
      <c r="R9108"/>
      <c r="S9108"/>
    </row>
    <row r="9109" spans="1:19" x14ac:dyDescent="0.25">
      <c r="A9109" s="1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  <c r="P9109"/>
      <c r="Q9109"/>
      <c r="R9109"/>
      <c r="S9109"/>
    </row>
    <row r="9110" spans="1:19" x14ac:dyDescent="0.25">
      <c r="A9110" s="1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  <c r="P9110"/>
      <c r="Q9110"/>
      <c r="R9110"/>
      <c r="S9110"/>
    </row>
    <row r="9111" spans="1:19" x14ac:dyDescent="0.25">
      <c r="A9111" s="1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  <c r="P9111"/>
      <c r="Q9111"/>
      <c r="R9111"/>
      <c r="S9111"/>
    </row>
    <row r="9112" spans="1:19" x14ac:dyDescent="0.25">
      <c r="A9112" s="1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  <c r="P9112"/>
      <c r="Q9112"/>
      <c r="R9112"/>
      <c r="S9112"/>
    </row>
    <row r="9113" spans="1:19" x14ac:dyDescent="0.25">
      <c r="A9113" s="1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  <c r="P9113"/>
      <c r="Q9113"/>
      <c r="R9113"/>
      <c r="S9113"/>
    </row>
    <row r="9114" spans="1:19" x14ac:dyDescent="0.25">
      <c r="A9114" s="1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  <c r="P9114"/>
      <c r="Q9114"/>
      <c r="R9114"/>
      <c r="S9114"/>
    </row>
    <row r="9115" spans="1:19" x14ac:dyDescent="0.25">
      <c r="A9115" s="1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  <c r="P9115"/>
      <c r="Q9115"/>
      <c r="R9115"/>
      <c r="S9115"/>
    </row>
    <row r="9116" spans="1:19" x14ac:dyDescent="0.25">
      <c r="A9116" s="1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  <c r="P9116"/>
      <c r="Q9116"/>
      <c r="R9116"/>
      <c r="S9116"/>
    </row>
    <row r="9117" spans="1:19" x14ac:dyDescent="0.25">
      <c r="A9117" s="1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  <c r="P9117"/>
      <c r="Q9117"/>
      <c r="R9117"/>
      <c r="S9117"/>
    </row>
    <row r="9118" spans="1:19" x14ac:dyDescent="0.25">
      <c r="A9118" s="1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  <c r="P9118"/>
      <c r="Q9118"/>
      <c r="R9118"/>
      <c r="S9118"/>
    </row>
    <row r="9119" spans="1:19" x14ac:dyDescent="0.25">
      <c r="A9119" s="1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  <c r="P9119"/>
      <c r="Q9119"/>
      <c r="R9119"/>
      <c r="S9119"/>
    </row>
    <row r="9120" spans="1:19" x14ac:dyDescent="0.25">
      <c r="A9120" s="1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  <c r="P9120"/>
      <c r="Q9120"/>
      <c r="R9120"/>
      <c r="S9120"/>
    </row>
    <row r="9121" spans="1:19" x14ac:dyDescent="0.25">
      <c r="A9121" s="1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  <c r="P9121"/>
      <c r="Q9121"/>
      <c r="R9121"/>
      <c r="S9121"/>
    </row>
    <row r="9122" spans="1:19" x14ac:dyDescent="0.25">
      <c r="A9122" s="1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  <c r="P9122"/>
      <c r="Q9122"/>
      <c r="R9122"/>
      <c r="S9122"/>
    </row>
    <row r="9123" spans="1:19" x14ac:dyDescent="0.25">
      <c r="A9123" s="1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  <c r="P9123"/>
      <c r="Q9123"/>
      <c r="R9123"/>
      <c r="S9123"/>
    </row>
    <row r="9124" spans="1:19" x14ac:dyDescent="0.25">
      <c r="A9124" s="1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  <c r="P9124"/>
      <c r="Q9124"/>
      <c r="R9124"/>
      <c r="S9124"/>
    </row>
    <row r="9125" spans="1:19" x14ac:dyDescent="0.25">
      <c r="A9125" s="1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  <c r="P9125"/>
      <c r="Q9125"/>
      <c r="R9125"/>
      <c r="S9125"/>
    </row>
    <row r="9126" spans="1:19" x14ac:dyDescent="0.25">
      <c r="A9126" s="1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  <c r="P9126"/>
      <c r="Q9126"/>
      <c r="R9126"/>
      <c r="S9126"/>
    </row>
    <row r="9127" spans="1:19" x14ac:dyDescent="0.25">
      <c r="A9127" s="1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  <c r="P9127"/>
      <c r="Q9127"/>
      <c r="R9127"/>
      <c r="S9127"/>
    </row>
    <row r="9128" spans="1:19" x14ac:dyDescent="0.25">
      <c r="A9128" s="1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  <c r="P9128"/>
      <c r="Q9128"/>
      <c r="R9128"/>
      <c r="S9128"/>
    </row>
    <row r="9129" spans="1:19" x14ac:dyDescent="0.25">
      <c r="A9129" s="1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  <c r="P9129"/>
      <c r="Q9129"/>
      <c r="R9129"/>
      <c r="S9129"/>
    </row>
    <row r="9130" spans="1:19" x14ac:dyDescent="0.25">
      <c r="A9130" s="1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  <c r="P9130"/>
      <c r="Q9130"/>
      <c r="R9130"/>
      <c r="S9130"/>
    </row>
    <row r="9131" spans="1:19" x14ac:dyDescent="0.25">
      <c r="A9131" s="1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  <c r="P9131"/>
      <c r="Q9131"/>
      <c r="R9131"/>
      <c r="S9131"/>
    </row>
    <row r="9132" spans="1:19" x14ac:dyDescent="0.25">
      <c r="A9132" s="1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  <c r="P9132"/>
      <c r="Q9132"/>
      <c r="R9132"/>
      <c r="S9132"/>
    </row>
    <row r="9133" spans="1:19" x14ac:dyDescent="0.25">
      <c r="A9133" s="1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  <c r="P9133"/>
      <c r="Q9133"/>
      <c r="R9133"/>
      <c r="S9133"/>
    </row>
    <row r="9134" spans="1:19" x14ac:dyDescent="0.25">
      <c r="A9134" s="1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  <c r="P9134"/>
      <c r="Q9134"/>
      <c r="R9134"/>
      <c r="S9134"/>
    </row>
    <row r="9135" spans="1:19" x14ac:dyDescent="0.25">
      <c r="A9135" s="1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  <c r="P9135"/>
      <c r="Q9135"/>
      <c r="R9135"/>
      <c r="S9135"/>
    </row>
    <row r="9136" spans="1:19" x14ac:dyDescent="0.25">
      <c r="A9136" s="1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  <c r="P9136"/>
      <c r="Q9136"/>
      <c r="R9136"/>
      <c r="S9136"/>
    </row>
    <row r="9137" spans="1:19" x14ac:dyDescent="0.25">
      <c r="A9137" s="1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  <c r="P9137"/>
      <c r="Q9137"/>
      <c r="R9137"/>
      <c r="S9137"/>
    </row>
    <row r="9138" spans="1:19" x14ac:dyDescent="0.25">
      <c r="A9138" s="1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  <c r="P9138"/>
      <c r="Q9138"/>
      <c r="R9138"/>
      <c r="S9138"/>
    </row>
    <row r="9139" spans="1:19" x14ac:dyDescent="0.25">
      <c r="A9139" s="1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  <c r="P9139"/>
      <c r="Q9139"/>
      <c r="R9139"/>
      <c r="S9139"/>
    </row>
    <row r="9140" spans="1:19" x14ac:dyDescent="0.25">
      <c r="A9140" s="1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  <c r="P9140"/>
      <c r="Q9140"/>
      <c r="R9140"/>
      <c r="S9140"/>
    </row>
    <row r="9141" spans="1:19" x14ac:dyDescent="0.25">
      <c r="A9141" s="1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  <c r="P9141"/>
      <c r="Q9141"/>
      <c r="R9141"/>
      <c r="S9141"/>
    </row>
    <row r="9142" spans="1:19" x14ac:dyDescent="0.25">
      <c r="A9142" s="1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  <c r="P9142"/>
      <c r="Q9142"/>
      <c r="R9142"/>
      <c r="S9142"/>
    </row>
    <row r="9143" spans="1:19" x14ac:dyDescent="0.25">
      <c r="A9143" s="1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  <c r="P9143"/>
      <c r="Q9143"/>
      <c r="R9143"/>
      <c r="S9143"/>
    </row>
    <row r="9144" spans="1:19" x14ac:dyDescent="0.25">
      <c r="A9144" s="1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  <c r="P9144"/>
      <c r="Q9144"/>
      <c r="R9144"/>
      <c r="S9144"/>
    </row>
    <row r="9145" spans="1:19" x14ac:dyDescent="0.25">
      <c r="A9145" s="1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  <c r="P9145"/>
      <c r="Q9145"/>
      <c r="R9145"/>
      <c r="S9145"/>
    </row>
    <row r="9146" spans="1:19" x14ac:dyDescent="0.25">
      <c r="A9146" s="1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  <c r="P9146"/>
      <c r="Q9146"/>
      <c r="R9146"/>
      <c r="S9146"/>
    </row>
    <row r="9147" spans="1:19" x14ac:dyDescent="0.25">
      <c r="A9147" s="1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  <c r="P9147"/>
      <c r="Q9147"/>
      <c r="R9147"/>
      <c r="S9147"/>
    </row>
    <row r="9148" spans="1:19" x14ac:dyDescent="0.25">
      <c r="A9148" s="1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  <c r="P9148"/>
      <c r="Q9148"/>
      <c r="R9148"/>
      <c r="S9148"/>
    </row>
    <row r="9149" spans="1:19" x14ac:dyDescent="0.25">
      <c r="A9149" s="1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  <c r="P9149"/>
      <c r="Q9149"/>
      <c r="R9149"/>
      <c r="S9149"/>
    </row>
    <row r="9150" spans="1:19" x14ac:dyDescent="0.25">
      <c r="A9150" s="1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  <c r="P9150"/>
      <c r="Q9150"/>
      <c r="R9150"/>
      <c r="S9150"/>
    </row>
    <row r="9151" spans="1:19" x14ac:dyDescent="0.25">
      <c r="A9151" s="1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  <c r="P9151"/>
      <c r="Q9151"/>
      <c r="R9151"/>
      <c r="S9151"/>
    </row>
    <row r="9152" spans="1:19" x14ac:dyDescent="0.25">
      <c r="A9152" s="1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  <c r="P9152"/>
      <c r="Q9152"/>
      <c r="R9152"/>
      <c r="S9152"/>
    </row>
    <row r="9153" spans="1:19" x14ac:dyDescent="0.25">
      <c r="A9153" s="1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  <c r="P9153"/>
      <c r="Q9153"/>
      <c r="R9153"/>
      <c r="S9153"/>
    </row>
    <row r="9154" spans="1:19" x14ac:dyDescent="0.25">
      <c r="A9154" s="1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  <c r="P9154"/>
      <c r="Q9154"/>
      <c r="R9154"/>
      <c r="S9154"/>
    </row>
    <row r="9155" spans="1:19" x14ac:dyDescent="0.25">
      <c r="A9155" s="1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  <c r="P9155"/>
      <c r="Q9155"/>
      <c r="R9155"/>
      <c r="S9155"/>
    </row>
    <row r="9156" spans="1:19" x14ac:dyDescent="0.25">
      <c r="A9156" s="1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  <c r="P9156"/>
      <c r="Q9156"/>
      <c r="R9156"/>
      <c r="S9156"/>
    </row>
    <row r="9157" spans="1:19" x14ac:dyDescent="0.25">
      <c r="A9157" s="1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  <c r="P9157"/>
      <c r="Q9157"/>
      <c r="R9157"/>
      <c r="S9157"/>
    </row>
    <row r="9158" spans="1:19" x14ac:dyDescent="0.25">
      <c r="A9158" s="1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  <c r="P9158"/>
      <c r="Q9158"/>
      <c r="R9158"/>
      <c r="S9158"/>
    </row>
    <row r="9159" spans="1:19" x14ac:dyDescent="0.25">
      <c r="A9159" s="1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  <c r="P9159"/>
      <c r="Q9159"/>
      <c r="R9159"/>
      <c r="S9159"/>
    </row>
    <row r="9160" spans="1:19" x14ac:dyDescent="0.25">
      <c r="A9160" s="1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  <c r="P9160"/>
      <c r="Q9160"/>
      <c r="R9160"/>
      <c r="S9160"/>
    </row>
    <row r="9161" spans="1:19" x14ac:dyDescent="0.25">
      <c r="A9161" s="1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  <c r="P9161"/>
      <c r="Q9161"/>
      <c r="R9161"/>
      <c r="S9161"/>
    </row>
    <row r="9162" spans="1:19" x14ac:dyDescent="0.25">
      <c r="A9162" s="1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  <c r="P9162"/>
      <c r="Q9162"/>
      <c r="R9162"/>
      <c r="S9162"/>
    </row>
    <row r="9163" spans="1:19" x14ac:dyDescent="0.25">
      <c r="A9163" s="1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  <c r="P9163"/>
      <c r="Q9163"/>
      <c r="R9163"/>
      <c r="S9163"/>
    </row>
    <row r="9164" spans="1:19" x14ac:dyDescent="0.25">
      <c r="A9164" s="1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  <c r="P9164"/>
      <c r="Q9164"/>
      <c r="R9164"/>
      <c r="S9164"/>
    </row>
    <row r="9165" spans="1:19" x14ac:dyDescent="0.25">
      <c r="A9165" s="1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  <c r="P9165"/>
      <c r="Q9165"/>
      <c r="R9165"/>
      <c r="S9165"/>
    </row>
    <row r="9166" spans="1:19" x14ac:dyDescent="0.25">
      <c r="A9166" s="1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  <c r="P9166"/>
      <c r="Q9166"/>
      <c r="R9166"/>
      <c r="S9166"/>
    </row>
    <row r="9167" spans="1:19" x14ac:dyDescent="0.25">
      <c r="A9167" s="1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  <c r="P9167"/>
      <c r="Q9167"/>
      <c r="R9167"/>
      <c r="S9167"/>
    </row>
    <row r="9168" spans="1:19" x14ac:dyDescent="0.25">
      <c r="A9168" s="1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  <c r="P9168"/>
      <c r="Q9168"/>
      <c r="R9168"/>
      <c r="S9168"/>
    </row>
    <row r="9169" spans="1:19" x14ac:dyDescent="0.25">
      <c r="A9169" s="1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  <c r="P9169"/>
      <c r="Q9169"/>
      <c r="R9169"/>
      <c r="S9169"/>
    </row>
    <row r="9170" spans="1:19" x14ac:dyDescent="0.25">
      <c r="A9170" s="1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  <c r="P9170"/>
      <c r="Q9170"/>
      <c r="R9170"/>
      <c r="S9170"/>
    </row>
    <row r="9171" spans="1:19" x14ac:dyDescent="0.25">
      <c r="A9171" s="1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  <c r="P9171"/>
      <c r="Q9171"/>
      <c r="R9171"/>
      <c r="S9171"/>
    </row>
    <row r="9172" spans="1:19" x14ac:dyDescent="0.25">
      <c r="A9172" s="1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  <c r="P9172"/>
      <c r="Q9172"/>
      <c r="R9172"/>
      <c r="S9172"/>
    </row>
    <row r="9173" spans="1:19" x14ac:dyDescent="0.25">
      <c r="A9173" s="1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  <c r="P9173"/>
      <c r="Q9173"/>
      <c r="R9173"/>
      <c r="S9173"/>
    </row>
    <row r="9174" spans="1:19" x14ac:dyDescent="0.25">
      <c r="A9174" s="1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  <c r="P9174"/>
      <c r="Q9174"/>
      <c r="R9174"/>
      <c r="S9174"/>
    </row>
    <row r="9175" spans="1:19" x14ac:dyDescent="0.25">
      <c r="A9175" s="1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  <c r="P9175"/>
      <c r="Q9175"/>
      <c r="R9175"/>
      <c r="S9175"/>
    </row>
    <row r="9176" spans="1:19" x14ac:dyDescent="0.25">
      <c r="A9176" s="1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  <c r="P9176"/>
      <c r="Q9176"/>
      <c r="R9176"/>
      <c r="S9176"/>
    </row>
    <row r="9177" spans="1:19" x14ac:dyDescent="0.25">
      <c r="A9177" s="1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  <c r="P9177"/>
      <c r="Q9177"/>
      <c r="R9177"/>
      <c r="S9177"/>
    </row>
    <row r="9178" spans="1:19" x14ac:dyDescent="0.25">
      <c r="A9178" s="1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  <c r="P9178"/>
      <c r="Q9178"/>
      <c r="R9178"/>
      <c r="S9178"/>
    </row>
    <row r="9179" spans="1:19" x14ac:dyDescent="0.25">
      <c r="A9179" s="1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  <c r="P9179"/>
      <c r="Q9179"/>
      <c r="R9179"/>
      <c r="S9179"/>
    </row>
    <row r="9180" spans="1:19" x14ac:dyDescent="0.25">
      <c r="A9180" s="1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  <c r="P9180"/>
      <c r="Q9180"/>
      <c r="R9180"/>
      <c r="S9180"/>
    </row>
    <row r="9181" spans="1:19" x14ac:dyDescent="0.25">
      <c r="A9181" s="1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  <c r="P9181"/>
      <c r="Q9181"/>
      <c r="R9181"/>
      <c r="S9181"/>
    </row>
    <row r="9182" spans="1:19" x14ac:dyDescent="0.25">
      <c r="A9182" s="1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  <c r="P9182"/>
      <c r="Q9182"/>
      <c r="R9182"/>
      <c r="S9182"/>
    </row>
    <row r="9183" spans="1:19" x14ac:dyDescent="0.25">
      <c r="A9183" s="1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  <c r="P9183"/>
      <c r="Q9183"/>
      <c r="R9183"/>
      <c r="S9183"/>
    </row>
    <row r="9184" spans="1:19" x14ac:dyDescent="0.25">
      <c r="A9184" s="1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  <c r="P9184"/>
      <c r="Q9184"/>
      <c r="R9184"/>
      <c r="S9184"/>
    </row>
    <row r="9185" spans="1:19" x14ac:dyDescent="0.25">
      <c r="A9185" s="1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  <c r="P9185"/>
      <c r="Q9185"/>
      <c r="R9185"/>
      <c r="S9185"/>
    </row>
    <row r="9186" spans="1:19" x14ac:dyDescent="0.25">
      <c r="A9186" s="1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  <c r="P9186"/>
      <c r="Q9186"/>
      <c r="R9186"/>
      <c r="S9186"/>
    </row>
    <row r="9187" spans="1:19" x14ac:dyDescent="0.25">
      <c r="A9187" s="1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  <c r="P9187"/>
      <c r="Q9187"/>
      <c r="R9187"/>
      <c r="S9187"/>
    </row>
    <row r="9188" spans="1:19" x14ac:dyDescent="0.25">
      <c r="A9188" s="1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  <c r="P9188"/>
      <c r="Q9188"/>
      <c r="R9188"/>
      <c r="S9188"/>
    </row>
    <row r="9189" spans="1:19" x14ac:dyDescent="0.25">
      <c r="A9189" s="1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  <c r="P9189"/>
      <c r="Q9189"/>
      <c r="R9189"/>
      <c r="S9189"/>
    </row>
    <row r="9190" spans="1:19" x14ac:dyDescent="0.25">
      <c r="A9190" s="1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  <c r="P9190"/>
      <c r="Q9190"/>
      <c r="R9190"/>
      <c r="S9190"/>
    </row>
    <row r="9191" spans="1:19" x14ac:dyDescent="0.25">
      <c r="A9191" s="1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  <c r="P9191"/>
      <c r="Q9191"/>
      <c r="R9191"/>
      <c r="S9191"/>
    </row>
    <row r="9192" spans="1:19" x14ac:dyDescent="0.25">
      <c r="A9192" s="1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  <c r="P9192"/>
      <c r="Q9192"/>
      <c r="R9192"/>
      <c r="S9192"/>
    </row>
    <row r="9193" spans="1:19" x14ac:dyDescent="0.25">
      <c r="A9193" s="1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  <c r="P9193"/>
      <c r="Q9193"/>
      <c r="R9193"/>
      <c r="S9193"/>
    </row>
    <row r="9194" spans="1:19" x14ac:dyDescent="0.25">
      <c r="A9194" s="1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  <c r="P9194"/>
      <c r="Q9194"/>
      <c r="R9194"/>
      <c r="S9194"/>
    </row>
    <row r="9195" spans="1:19" x14ac:dyDescent="0.25">
      <c r="A9195" s="1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  <c r="P9195"/>
      <c r="Q9195"/>
      <c r="R9195"/>
      <c r="S9195"/>
    </row>
    <row r="9196" spans="1:19" x14ac:dyDescent="0.25">
      <c r="A9196" s="1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  <c r="P9196"/>
      <c r="Q9196"/>
      <c r="R9196"/>
      <c r="S9196"/>
    </row>
    <row r="9197" spans="1:19" x14ac:dyDescent="0.25">
      <c r="A9197" s="1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  <c r="P9197"/>
      <c r="Q9197"/>
      <c r="R9197"/>
      <c r="S9197"/>
    </row>
    <row r="9198" spans="1:19" x14ac:dyDescent="0.25">
      <c r="A9198" s="1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  <c r="P9198"/>
      <c r="Q9198"/>
      <c r="R9198"/>
      <c r="S9198"/>
    </row>
    <row r="9199" spans="1:19" x14ac:dyDescent="0.25">
      <c r="A9199" s="1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  <c r="P9199"/>
      <c r="Q9199"/>
      <c r="R9199"/>
      <c r="S9199"/>
    </row>
    <row r="9200" spans="1:19" x14ac:dyDescent="0.25">
      <c r="A9200" s="1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  <c r="P9200"/>
      <c r="Q9200"/>
      <c r="R9200"/>
      <c r="S9200"/>
    </row>
    <row r="9201" spans="1:19" x14ac:dyDescent="0.25">
      <c r="A9201" s="1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  <c r="P9201"/>
      <c r="Q9201"/>
      <c r="R9201"/>
      <c r="S9201"/>
    </row>
    <row r="9202" spans="1:19" x14ac:dyDescent="0.25">
      <c r="A9202" s="1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  <c r="P9202"/>
      <c r="Q9202"/>
      <c r="R9202"/>
      <c r="S9202"/>
    </row>
    <row r="9203" spans="1:19" x14ac:dyDescent="0.25">
      <c r="A9203" s="1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  <c r="P9203"/>
      <c r="Q9203"/>
      <c r="R9203"/>
      <c r="S9203"/>
    </row>
    <row r="9204" spans="1:19" x14ac:dyDescent="0.25">
      <c r="A9204" s="1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  <c r="P9204"/>
      <c r="Q9204"/>
      <c r="R9204"/>
      <c r="S9204"/>
    </row>
    <row r="9205" spans="1:19" x14ac:dyDescent="0.25">
      <c r="A9205" s="1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  <c r="P9205"/>
      <c r="Q9205"/>
      <c r="R9205"/>
      <c r="S9205"/>
    </row>
    <row r="9206" spans="1:19" x14ac:dyDescent="0.25">
      <c r="A9206" s="1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  <c r="P9206"/>
      <c r="Q9206"/>
      <c r="R9206"/>
      <c r="S9206"/>
    </row>
    <row r="9207" spans="1:19" x14ac:dyDescent="0.25">
      <c r="A9207" s="1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  <c r="P9207"/>
      <c r="Q9207"/>
      <c r="R9207"/>
      <c r="S9207"/>
    </row>
    <row r="9208" spans="1:19" x14ac:dyDescent="0.25">
      <c r="A9208" s="1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  <c r="P9208"/>
      <c r="Q9208"/>
      <c r="R9208"/>
      <c r="S9208"/>
    </row>
    <row r="9209" spans="1:19" x14ac:dyDescent="0.25">
      <c r="A9209" s="1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  <c r="P9209"/>
      <c r="Q9209"/>
      <c r="R9209"/>
      <c r="S9209"/>
    </row>
    <row r="9210" spans="1:19" x14ac:dyDescent="0.25">
      <c r="A9210" s="1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  <c r="P9210"/>
      <c r="Q9210"/>
      <c r="R9210"/>
      <c r="S9210"/>
    </row>
    <row r="9211" spans="1:19" x14ac:dyDescent="0.25">
      <c r="A9211" s="1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  <c r="P9211"/>
      <c r="Q9211"/>
      <c r="R9211"/>
      <c r="S9211"/>
    </row>
    <row r="9212" spans="1:19" x14ac:dyDescent="0.25">
      <c r="A9212" s="1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  <c r="P9212"/>
      <c r="Q9212"/>
      <c r="R9212"/>
      <c r="S9212"/>
    </row>
    <row r="9213" spans="1:19" x14ac:dyDescent="0.25">
      <c r="A9213" s="1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  <c r="P9213"/>
      <c r="Q9213"/>
      <c r="R9213"/>
      <c r="S9213"/>
    </row>
    <row r="9214" spans="1:19" x14ac:dyDescent="0.25">
      <c r="A9214" s="1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  <c r="P9214"/>
      <c r="Q9214"/>
      <c r="R9214"/>
      <c r="S9214"/>
    </row>
    <row r="9215" spans="1:19" x14ac:dyDescent="0.25">
      <c r="A9215" s="1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  <c r="P9215"/>
      <c r="Q9215"/>
      <c r="R9215"/>
      <c r="S9215"/>
    </row>
    <row r="9216" spans="1:19" x14ac:dyDescent="0.25">
      <c r="A9216" s="1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  <c r="P9216"/>
      <c r="Q9216"/>
      <c r="R9216"/>
      <c r="S9216"/>
    </row>
    <row r="9217" spans="1:19" x14ac:dyDescent="0.25">
      <c r="A9217" s="1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  <c r="P9217"/>
      <c r="Q9217"/>
      <c r="R9217"/>
      <c r="S9217"/>
    </row>
    <row r="9218" spans="1:19" x14ac:dyDescent="0.25">
      <c r="A9218" s="1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  <c r="P9218"/>
      <c r="Q9218"/>
      <c r="R9218"/>
      <c r="S9218"/>
    </row>
    <row r="9219" spans="1:19" x14ac:dyDescent="0.25">
      <c r="A9219" s="1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  <c r="P9219"/>
      <c r="Q9219"/>
      <c r="R9219"/>
      <c r="S9219"/>
    </row>
    <row r="9220" spans="1:19" x14ac:dyDescent="0.25">
      <c r="A9220" s="1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  <c r="P9220"/>
      <c r="Q9220"/>
      <c r="R9220"/>
      <c r="S9220"/>
    </row>
    <row r="9221" spans="1:19" x14ac:dyDescent="0.25">
      <c r="A9221" s="1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  <c r="P9221"/>
      <c r="Q9221"/>
      <c r="R9221"/>
      <c r="S9221"/>
    </row>
    <row r="9222" spans="1:19" x14ac:dyDescent="0.25">
      <c r="A9222" s="1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  <c r="P9222"/>
      <c r="Q9222"/>
      <c r="R9222"/>
      <c r="S9222"/>
    </row>
    <row r="9223" spans="1:19" x14ac:dyDescent="0.25">
      <c r="A9223" s="1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  <c r="P9223"/>
      <c r="Q9223"/>
      <c r="R9223"/>
      <c r="S9223"/>
    </row>
    <row r="9224" spans="1:19" x14ac:dyDescent="0.25">
      <c r="A9224" s="1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  <c r="P9224"/>
      <c r="Q9224"/>
      <c r="R9224"/>
      <c r="S9224"/>
    </row>
    <row r="9225" spans="1:19" x14ac:dyDescent="0.25">
      <c r="A9225" s="1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  <c r="P9225"/>
      <c r="Q9225"/>
      <c r="R9225"/>
      <c r="S9225"/>
    </row>
    <row r="9226" spans="1:19" x14ac:dyDescent="0.25">
      <c r="A9226" s="1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  <c r="P9226"/>
      <c r="Q9226"/>
      <c r="R9226"/>
      <c r="S9226"/>
    </row>
    <row r="9227" spans="1:19" x14ac:dyDescent="0.25">
      <c r="A9227" s="1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  <c r="P9227"/>
      <c r="Q9227"/>
      <c r="R9227"/>
      <c r="S9227"/>
    </row>
    <row r="9228" spans="1:19" x14ac:dyDescent="0.25">
      <c r="A9228" s="1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  <c r="P9228"/>
      <c r="Q9228"/>
      <c r="R9228"/>
      <c r="S9228"/>
    </row>
    <row r="9229" spans="1:19" x14ac:dyDescent="0.25">
      <c r="A9229" s="1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  <c r="P9229"/>
      <c r="Q9229"/>
      <c r="R9229"/>
      <c r="S9229"/>
    </row>
    <row r="9230" spans="1:19" x14ac:dyDescent="0.25">
      <c r="A9230" s="1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  <c r="P9230"/>
      <c r="Q9230"/>
      <c r="R9230"/>
      <c r="S9230"/>
    </row>
    <row r="9231" spans="1:19" x14ac:dyDescent="0.25">
      <c r="A9231" s="1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  <c r="P9231"/>
      <c r="Q9231"/>
      <c r="R9231"/>
      <c r="S9231"/>
    </row>
    <row r="9232" spans="1:19" x14ac:dyDescent="0.25">
      <c r="A9232" s="1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  <c r="P9232"/>
      <c r="Q9232"/>
      <c r="R9232"/>
      <c r="S9232"/>
    </row>
    <row r="9233" spans="1:19" x14ac:dyDescent="0.25">
      <c r="A9233" s="1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  <c r="P9233"/>
      <c r="Q9233"/>
      <c r="R9233"/>
      <c r="S9233"/>
    </row>
    <row r="9234" spans="1:19" x14ac:dyDescent="0.25">
      <c r="A9234" s="1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  <c r="P9234"/>
      <c r="Q9234"/>
      <c r="R9234"/>
      <c r="S9234"/>
    </row>
    <row r="9235" spans="1:19" x14ac:dyDescent="0.25">
      <c r="A9235" s="1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  <c r="P9235"/>
      <c r="Q9235"/>
      <c r="R9235"/>
      <c r="S9235"/>
    </row>
    <row r="9236" spans="1:19" x14ac:dyDescent="0.25">
      <c r="A9236" s="1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  <c r="P9236"/>
      <c r="Q9236"/>
      <c r="R9236"/>
      <c r="S9236"/>
    </row>
    <row r="9237" spans="1:19" x14ac:dyDescent="0.25">
      <c r="A9237" s="1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  <c r="P9237"/>
      <c r="Q9237"/>
      <c r="R9237"/>
      <c r="S9237"/>
    </row>
    <row r="9238" spans="1:19" x14ac:dyDescent="0.25">
      <c r="A9238" s="1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  <c r="P9238"/>
      <c r="Q9238"/>
      <c r="R9238"/>
      <c r="S9238"/>
    </row>
    <row r="9239" spans="1:19" x14ac:dyDescent="0.25">
      <c r="A9239" s="1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  <c r="P9239"/>
      <c r="Q9239"/>
      <c r="R9239"/>
      <c r="S9239"/>
    </row>
    <row r="9240" spans="1:19" x14ac:dyDescent="0.25">
      <c r="A9240" s="1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  <c r="P9240"/>
      <c r="Q9240"/>
      <c r="R9240"/>
      <c r="S9240"/>
    </row>
    <row r="9241" spans="1:19" x14ac:dyDescent="0.25">
      <c r="A9241" s="1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  <c r="P9241"/>
      <c r="Q9241"/>
      <c r="R9241"/>
      <c r="S9241"/>
    </row>
    <row r="9242" spans="1:19" x14ac:dyDescent="0.25">
      <c r="A9242" s="1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  <c r="P9242"/>
      <c r="Q9242"/>
      <c r="R9242"/>
      <c r="S9242"/>
    </row>
    <row r="9243" spans="1:19" x14ac:dyDescent="0.25">
      <c r="A9243" s="1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  <c r="P9243"/>
      <c r="Q9243"/>
      <c r="R9243"/>
      <c r="S9243"/>
    </row>
    <row r="9244" spans="1:19" x14ac:dyDescent="0.25">
      <c r="A9244" s="1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  <c r="P9244"/>
      <c r="Q9244"/>
      <c r="R9244"/>
      <c r="S9244"/>
    </row>
    <row r="9245" spans="1:19" x14ac:dyDescent="0.25">
      <c r="A9245" s="1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  <c r="P9245"/>
      <c r="Q9245"/>
      <c r="R9245"/>
      <c r="S9245"/>
    </row>
    <row r="9246" spans="1:19" x14ac:dyDescent="0.25">
      <c r="A9246" s="1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  <c r="P9246"/>
      <c r="Q9246"/>
      <c r="R9246"/>
      <c r="S9246"/>
    </row>
    <row r="9247" spans="1:19" x14ac:dyDescent="0.25">
      <c r="A9247" s="1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  <c r="P9247"/>
      <c r="Q9247"/>
      <c r="R9247"/>
      <c r="S9247"/>
    </row>
    <row r="9248" spans="1:19" x14ac:dyDescent="0.25">
      <c r="A9248" s="1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  <c r="P9248"/>
      <c r="Q9248"/>
      <c r="R9248"/>
      <c r="S9248"/>
    </row>
    <row r="9249" spans="1:19" x14ac:dyDescent="0.25">
      <c r="A9249" s="1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  <c r="P9249"/>
      <c r="Q9249"/>
      <c r="R9249"/>
      <c r="S9249"/>
    </row>
    <row r="9250" spans="1:19" x14ac:dyDescent="0.25">
      <c r="A9250" s="1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  <c r="P9250"/>
      <c r="Q9250"/>
      <c r="R9250"/>
      <c r="S9250"/>
    </row>
    <row r="9251" spans="1:19" x14ac:dyDescent="0.25">
      <c r="A9251" s="1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  <c r="P9251"/>
      <c r="Q9251"/>
      <c r="R9251"/>
      <c r="S9251"/>
    </row>
    <row r="9252" spans="1:19" x14ac:dyDescent="0.25">
      <c r="A9252" s="1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  <c r="P9252"/>
      <c r="Q9252"/>
      <c r="R9252"/>
      <c r="S9252"/>
    </row>
    <row r="9253" spans="1:19" x14ac:dyDescent="0.25">
      <c r="A9253" s="1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  <c r="P9253"/>
      <c r="Q9253"/>
      <c r="R9253"/>
      <c r="S9253"/>
    </row>
    <row r="9254" spans="1:19" x14ac:dyDescent="0.25">
      <c r="A9254" s="1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  <c r="P9254"/>
      <c r="Q9254"/>
      <c r="R9254"/>
      <c r="S9254"/>
    </row>
    <row r="9255" spans="1:19" x14ac:dyDescent="0.25">
      <c r="A9255" s="1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  <c r="P9255"/>
      <c r="Q9255"/>
      <c r="R9255"/>
      <c r="S9255"/>
    </row>
    <row r="9256" spans="1:19" x14ac:dyDescent="0.25">
      <c r="A9256" s="1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  <c r="P9256"/>
      <c r="Q9256"/>
      <c r="R9256"/>
      <c r="S9256"/>
    </row>
    <row r="9257" spans="1:19" x14ac:dyDescent="0.25">
      <c r="A9257" s="1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  <c r="P9257"/>
      <c r="Q9257"/>
      <c r="R9257"/>
      <c r="S9257"/>
    </row>
    <row r="9258" spans="1:19" x14ac:dyDescent="0.25">
      <c r="A9258" s="1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  <c r="P9258"/>
      <c r="Q9258"/>
      <c r="R9258"/>
      <c r="S9258"/>
    </row>
    <row r="9259" spans="1:19" x14ac:dyDescent="0.25">
      <c r="A9259" s="1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  <c r="P9259"/>
      <c r="Q9259"/>
      <c r="R9259"/>
      <c r="S9259"/>
    </row>
    <row r="9260" spans="1:19" x14ac:dyDescent="0.25">
      <c r="A9260" s="1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  <c r="P9260"/>
      <c r="Q9260"/>
      <c r="R9260"/>
      <c r="S9260"/>
    </row>
    <row r="9261" spans="1:19" x14ac:dyDescent="0.25">
      <c r="A9261" s="1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  <c r="P9261"/>
      <c r="Q9261"/>
      <c r="R9261"/>
      <c r="S9261"/>
    </row>
    <row r="9262" spans="1:19" x14ac:dyDescent="0.25">
      <c r="A9262" s="1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  <c r="P9262"/>
      <c r="Q9262"/>
      <c r="R9262"/>
      <c r="S9262"/>
    </row>
    <row r="9263" spans="1:19" x14ac:dyDescent="0.25">
      <c r="A9263" s="1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  <c r="P9263"/>
      <c r="Q9263"/>
      <c r="R9263"/>
      <c r="S9263"/>
    </row>
    <row r="9264" spans="1:19" x14ac:dyDescent="0.25">
      <c r="A9264" s="1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  <c r="P9264"/>
      <c r="Q9264"/>
      <c r="R9264"/>
      <c r="S9264"/>
    </row>
    <row r="9265" spans="1:19" x14ac:dyDescent="0.25">
      <c r="A9265" s="1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  <c r="P9265"/>
      <c r="Q9265"/>
      <c r="R9265"/>
      <c r="S9265"/>
    </row>
    <row r="9266" spans="1:19" x14ac:dyDescent="0.25">
      <c r="A9266" s="1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  <c r="P9266"/>
      <c r="Q9266"/>
      <c r="R9266"/>
      <c r="S9266"/>
    </row>
    <row r="9267" spans="1:19" x14ac:dyDescent="0.25">
      <c r="A9267" s="1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  <c r="P9267"/>
      <c r="Q9267"/>
      <c r="R9267"/>
      <c r="S9267"/>
    </row>
    <row r="9268" spans="1:19" x14ac:dyDescent="0.25">
      <c r="A9268" s="1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  <c r="P9268"/>
      <c r="Q9268"/>
      <c r="R9268"/>
      <c r="S9268"/>
    </row>
    <row r="9269" spans="1:19" x14ac:dyDescent="0.25">
      <c r="A9269" s="1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  <c r="P9269"/>
      <c r="Q9269"/>
      <c r="R9269"/>
      <c r="S9269"/>
    </row>
    <row r="9270" spans="1:19" x14ac:dyDescent="0.25">
      <c r="A9270" s="1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  <c r="P9270"/>
      <c r="Q9270"/>
      <c r="R9270"/>
      <c r="S9270"/>
    </row>
    <row r="9271" spans="1:19" x14ac:dyDescent="0.25">
      <c r="A9271" s="1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  <c r="P9271"/>
      <c r="Q9271"/>
      <c r="R9271"/>
      <c r="S9271"/>
    </row>
    <row r="9272" spans="1:19" x14ac:dyDescent="0.25">
      <c r="A9272" s="1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  <c r="P9272"/>
      <c r="Q9272"/>
      <c r="R9272"/>
      <c r="S9272"/>
    </row>
    <row r="9273" spans="1:19" x14ac:dyDescent="0.25">
      <c r="A9273" s="1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  <c r="P9273"/>
      <c r="Q9273"/>
      <c r="R9273"/>
      <c r="S9273"/>
    </row>
    <row r="9274" spans="1:19" x14ac:dyDescent="0.25">
      <c r="A9274" s="1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  <c r="P9274"/>
      <c r="Q9274"/>
      <c r="R9274"/>
      <c r="S9274"/>
    </row>
    <row r="9275" spans="1:19" x14ac:dyDescent="0.25">
      <c r="A9275" s="1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  <c r="P9275"/>
      <c r="Q9275"/>
      <c r="R9275"/>
      <c r="S9275"/>
    </row>
    <row r="9276" spans="1:19" x14ac:dyDescent="0.25">
      <c r="A9276" s="1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  <c r="P9276"/>
      <c r="Q9276"/>
      <c r="R9276"/>
      <c r="S9276"/>
    </row>
    <row r="9277" spans="1:19" x14ac:dyDescent="0.25">
      <c r="A9277" s="1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  <c r="P9277"/>
      <c r="Q9277"/>
      <c r="R9277"/>
      <c r="S9277"/>
    </row>
    <row r="9278" spans="1:19" x14ac:dyDescent="0.25">
      <c r="A9278" s="1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  <c r="P9278"/>
      <c r="Q9278"/>
      <c r="R9278"/>
      <c r="S9278"/>
    </row>
    <row r="9279" spans="1:19" x14ac:dyDescent="0.25">
      <c r="A9279" s="1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  <c r="P9279"/>
      <c r="Q9279"/>
      <c r="R9279"/>
      <c r="S9279"/>
    </row>
    <row r="9280" spans="1:19" x14ac:dyDescent="0.25">
      <c r="A9280" s="1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  <c r="P9280"/>
      <c r="Q9280"/>
      <c r="R9280"/>
      <c r="S9280"/>
    </row>
    <row r="9281" spans="1:19" x14ac:dyDescent="0.25">
      <c r="A9281" s="1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  <c r="P9281"/>
      <c r="Q9281"/>
      <c r="R9281"/>
      <c r="S9281"/>
    </row>
    <row r="9282" spans="1:19" x14ac:dyDescent="0.25">
      <c r="A9282" s="1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  <c r="P9282"/>
      <c r="Q9282"/>
      <c r="R9282"/>
      <c r="S9282"/>
    </row>
    <row r="9283" spans="1:19" x14ac:dyDescent="0.25">
      <c r="A9283" s="1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  <c r="P9283"/>
      <c r="Q9283"/>
      <c r="R9283"/>
      <c r="S9283"/>
    </row>
    <row r="9284" spans="1:19" x14ac:dyDescent="0.25">
      <c r="A9284" s="1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  <c r="P9284"/>
      <c r="Q9284"/>
      <c r="R9284"/>
      <c r="S9284"/>
    </row>
    <row r="9285" spans="1:19" x14ac:dyDescent="0.25">
      <c r="A9285" s="1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  <c r="P9285"/>
      <c r="Q9285"/>
      <c r="R9285"/>
      <c r="S9285"/>
    </row>
    <row r="9286" spans="1:19" x14ac:dyDescent="0.25">
      <c r="A9286" s="1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  <c r="P9286"/>
      <c r="Q9286"/>
      <c r="R9286"/>
      <c r="S9286"/>
    </row>
    <row r="9287" spans="1:19" x14ac:dyDescent="0.25">
      <c r="A9287" s="1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  <c r="P9287"/>
      <c r="Q9287"/>
      <c r="R9287"/>
      <c r="S9287"/>
    </row>
    <row r="9288" spans="1:19" x14ac:dyDescent="0.25">
      <c r="A9288" s="1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  <c r="P9288"/>
      <c r="Q9288"/>
      <c r="R9288"/>
      <c r="S9288"/>
    </row>
    <row r="9289" spans="1:19" x14ac:dyDescent="0.25">
      <c r="A9289" s="1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  <c r="P9289"/>
      <c r="Q9289"/>
      <c r="R9289"/>
      <c r="S9289"/>
    </row>
    <row r="9290" spans="1:19" x14ac:dyDescent="0.25">
      <c r="A9290" s="1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  <c r="P9290"/>
      <c r="Q9290"/>
      <c r="R9290"/>
      <c r="S9290"/>
    </row>
    <row r="9291" spans="1:19" x14ac:dyDescent="0.25">
      <c r="A9291" s="1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  <c r="P9291"/>
      <c r="Q9291"/>
      <c r="R9291"/>
      <c r="S9291"/>
    </row>
    <row r="9292" spans="1:19" x14ac:dyDescent="0.25">
      <c r="A9292" s="1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  <c r="P9292"/>
      <c r="Q9292"/>
      <c r="R9292"/>
      <c r="S9292"/>
    </row>
    <row r="9293" spans="1:19" x14ac:dyDescent="0.25">
      <c r="A9293" s="1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  <c r="P9293"/>
      <c r="Q9293"/>
      <c r="R9293"/>
      <c r="S9293"/>
    </row>
    <row r="9294" spans="1:19" x14ac:dyDescent="0.25">
      <c r="A9294" s="1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  <c r="P9294"/>
      <c r="Q9294"/>
      <c r="R9294"/>
      <c r="S9294"/>
    </row>
    <row r="9295" spans="1:19" x14ac:dyDescent="0.25">
      <c r="A9295" s="1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  <c r="P9295"/>
      <c r="Q9295"/>
      <c r="R9295"/>
      <c r="S9295"/>
    </row>
    <row r="9296" spans="1:19" x14ac:dyDescent="0.25">
      <c r="A9296" s="1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  <c r="P9296"/>
      <c r="Q9296"/>
      <c r="R9296"/>
      <c r="S9296"/>
    </row>
    <row r="9297" spans="1:19" x14ac:dyDescent="0.25">
      <c r="A9297" s="1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  <c r="P9297"/>
      <c r="Q9297"/>
      <c r="R9297"/>
      <c r="S9297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FE3D6-ABE3-4079-BF3A-9460E6F9B9AB}">
  <dimension ref="A1:S9305"/>
  <sheetViews>
    <sheetView workbookViewId="0">
      <selection activeCell="D7" sqref="D7"/>
    </sheetView>
  </sheetViews>
  <sheetFormatPr defaultColWidth="8.7109375" defaultRowHeight="15.75" outlineLevelCol="1" x14ac:dyDescent="0.25"/>
  <cols>
    <col min="1" max="1" width="22.7109375" style="8" customWidth="1"/>
    <col min="2" max="2" width="47.85546875" style="9" customWidth="1"/>
    <col min="3" max="3" width="15.42578125" style="9" bestFit="1" customWidth="1"/>
    <col min="4" max="6" width="24.140625" style="9" bestFit="1" customWidth="1"/>
    <col min="7" max="10" width="24.140625" style="9" bestFit="1" customWidth="1" outlineLevel="1"/>
    <col min="11" max="19" width="24.140625" style="9" bestFit="1" customWidth="1"/>
    <col min="20" max="20" width="23.7109375" style="9" bestFit="1" customWidth="1"/>
    <col min="21" max="30" width="19.42578125" style="9" customWidth="1"/>
    <col min="31" max="95" width="39.5703125" style="9" bestFit="1" customWidth="1"/>
    <col min="96" max="16384" width="8.7109375" style="9"/>
  </cols>
  <sheetData>
    <row r="1" spans="1:19" s="9" customFormat="1" x14ac:dyDescent="0.25">
      <c r="A1" s="8" t="s">
        <v>949</v>
      </c>
      <c r="B1" s="9" t="s">
        <v>1288</v>
      </c>
    </row>
    <row r="2" spans="1:19" s="12" customFormat="1" x14ac:dyDescent="0.25">
      <c r="A2" s="10">
        <v>19110</v>
      </c>
      <c r="B2" s="11" t="s">
        <v>950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9" customFormat="1" x14ac:dyDescent="0.25">
      <c r="A3" s="10">
        <v>19112</v>
      </c>
      <c r="B3" s="11" t="s">
        <v>951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9" customFormat="1" x14ac:dyDescent="0.25">
      <c r="A4" s="10">
        <v>19119</v>
      </c>
      <c r="B4" s="11" t="s">
        <v>952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9" customFormat="1" x14ac:dyDescent="0.25">
      <c r="A5" s="10">
        <v>19150</v>
      </c>
      <c r="B5" s="11" t="s">
        <v>953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9" customFormat="1" x14ac:dyDescent="0.25">
      <c r="A6" s="10">
        <v>19160</v>
      </c>
      <c r="B6" s="11" t="s">
        <v>954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9" customFormat="1" x14ac:dyDescent="0.25">
      <c r="A7" s="10">
        <v>19161</v>
      </c>
      <c r="B7" s="11" t="s">
        <v>955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9" customFormat="1" x14ac:dyDescent="0.25">
      <c r="A8" s="10">
        <v>19164</v>
      </c>
      <c r="B8" s="11" t="s">
        <v>956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9" customFormat="1" x14ac:dyDescent="0.25">
      <c r="A9" s="10">
        <v>19171</v>
      </c>
      <c r="B9" s="11" t="s">
        <v>957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13" customFormat="1" x14ac:dyDescent="0.25">
      <c r="A10" s="10">
        <v>19172</v>
      </c>
      <c r="B10" s="11" t="s">
        <v>958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9" customFormat="1" x14ac:dyDescent="0.25">
      <c r="A11" s="10">
        <v>19173</v>
      </c>
      <c r="B11" s="11" t="s">
        <v>959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9" customFormat="1" x14ac:dyDescent="0.25">
      <c r="A12" s="10">
        <v>19175</v>
      </c>
      <c r="B12" s="11" t="s">
        <v>960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9" customFormat="1" x14ac:dyDescent="0.25">
      <c r="A13" s="10">
        <v>19220</v>
      </c>
      <c r="B13" s="11" t="s">
        <v>961</v>
      </c>
      <c r="C13" s="11"/>
      <c r="D13" s="11"/>
      <c r="E13" s="11"/>
      <c r="F13" s="11"/>
      <c r="G13" s="11"/>
      <c r="H13" s="11"/>
    </row>
    <row r="14" spans="1:19" s="9" customFormat="1" x14ac:dyDescent="0.25">
      <c r="A14" s="10">
        <v>19221</v>
      </c>
      <c r="B14" s="11" t="s">
        <v>962</v>
      </c>
      <c r="C14" s="11"/>
      <c r="D14" s="11"/>
      <c r="E14" s="11"/>
      <c r="F14" s="11"/>
      <c r="G14" s="11"/>
      <c r="H14" s="11"/>
    </row>
    <row r="15" spans="1:19" s="9" customFormat="1" x14ac:dyDescent="0.25">
      <c r="A15" s="10">
        <v>19222</v>
      </c>
      <c r="B15" s="11" t="s">
        <v>963</v>
      </c>
      <c r="C15" s="11"/>
      <c r="D15" s="11"/>
      <c r="E15" s="11"/>
      <c r="F15" s="11"/>
      <c r="G15" s="11"/>
      <c r="H15" s="11"/>
    </row>
    <row r="16" spans="1:19" s="9" customFormat="1" x14ac:dyDescent="0.25">
      <c r="A16" s="10">
        <v>19411</v>
      </c>
      <c r="B16" s="11" t="s">
        <v>964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9" customFormat="1" x14ac:dyDescent="0.25">
      <c r="A17" s="10">
        <v>19412</v>
      </c>
      <c r="B17" s="11" t="s">
        <v>965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9" customFormat="1" x14ac:dyDescent="0.25">
      <c r="A18" s="10">
        <v>19431</v>
      </c>
      <c r="B18" s="11" t="s">
        <v>966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9" customFormat="1" x14ac:dyDescent="0.25">
      <c r="A19" s="10">
        <v>19432</v>
      </c>
      <c r="B19" s="11" t="s">
        <v>562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9" customFormat="1" x14ac:dyDescent="0.25">
      <c r="A20" s="10">
        <v>19441</v>
      </c>
      <c r="B20" s="11" t="s">
        <v>948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9" customFormat="1" x14ac:dyDescent="0.25">
      <c r="A21" s="10">
        <v>19469</v>
      </c>
      <c r="B21" s="11" t="s">
        <v>967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9" customFormat="1" x14ac:dyDescent="0.25">
      <c r="A22" s="10">
        <v>29511</v>
      </c>
      <c r="B22" s="11" t="s">
        <v>433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s="9" customFormat="1" x14ac:dyDescent="0.25">
      <c r="A23" s="10">
        <v>29512</v>
      </c>
      <c r="B23" s="11" t="s">
        <v>968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s="9" customFormat="1" x14ac:dyDescent="0.25">
      <c r="A24" s="10">
        <v>29513</v>
      </c>
      <c r="B24" s="11" t="s">
        <v>969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s="9" customFormat="1" x14ac:dyDescent="0.25">
      <c r="A25" s="10">
        <v>29517</v>
      </c>
      <c r="B25" s="11" t="s">
        <v>970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s="9" customFormat="1" x14ac:dyDescent="0.25">
      <c r="A26" s="10">
        <v>29518</v>
      </c>
      <c r="B26" s="11" t="s">
        <v>971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s="9" customFormat="1" x14ac:dyDescent="0.25">
      <c r="A27" s="10">
        <v>29519</v>
      </c>
      <c r="B27" s="11" t="s">
        <v>972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s="9" customFormat="1" x14ac:dyDescent="0.25">
      <c r="A28" s="10">
        <v>29520</v>
      </c>
      <c r="B28" s="11" t="s">
        <v>924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s="9" customFormat="1" x14ac:dyDescent="0.25">
      <c r="A29" s="10">
        <v>29521</v>
      </c>
      <c r="B29" s="11" t="s">
        <v>973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s="9" customFormat="1" x14ac:dyDescent="0.25">
      <c r="A30" s="10">
        <v>29523</v>
      </c>
      <c r="B30" s="11" t="s">
        <v>974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s="9" customFormat="1" x14ac:dyDescent="0.25">
      <c r="A31" s="10">
        <v>29524</v>
      </c>
      <c r="B31" s="11" t="s">
        <v>975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s="9" customFormat="1" x14ac:dyDescent="0.25">
      <c r="A32" s="10">
        <v>29525</v>
      </c>
      <c r="B32" s="11" t="s">
        <v>976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s="9" customFormat="1" x14ac:dyDescent="0.25">
      <c r="A33" s="10">
        <v>29526</v>
      </c>
      <c r="B33" s="11" t="s">
        <v>977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s="9" customFormat="1" x14ac:dyDescent="0.25">
      <c r="A34" s="10">
        <v>29527</v>
      </c>
      <c r="B34" s="11" t="s">
        <v>978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s="9" customFormat="1" x14ac:dyDescent="0.25">
      <c r="A35" s="10">
        <v>29528</v>
      </c>
      <c r="B35" s="11" t="s">
        <v>979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s="9" customFormat="1" x14ac:dyDescent="0.25">
      <c r="A36" s="10">
        <v>29529</v>
      </c>
      <c r="B36" s="11" t="s">
        <v>980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s="9" customFormat="1" x14ac:dyDescent="0.25">
      <c r="A37" s="10">
        <v>29530</v>
      </c>
      <c r="B37" s="11" t="s">
        <v>981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s="9" customFormat="1" x14ac:dyDescent="0.25">
      <c r="A38" s="10">
        <v>29535</v>
      </c>
      <c r="B38" s="11" t="s">
        <v>982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s="9" customFormat="1" x14ac:dyDescent="0.25">
      <c r="A39" s="10">
        <v>29536</v>
      </c>
      <c r="B39" s="11" t="s">
        <v>983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s="9" customFormat="1" x14ac:dyDescent="0.25">
      <c r="A40" s="10">
        <v>29538</v>
      </c>
      <c r="B40" s="11" t="s">
        <v>981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9" customFormat="1" x14ac:dyDescent="0.25">
      <c r="A41" s="10">
        <v>29539</v>
      </c>
      <c r="B41" s="11" t="s">
        <v>984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s="9" customFormat="1" x14ac:dyDescent="0.25">
      <c r="A42" s="10">
        <v>29541</v>
      </c>
      <c r="B42" s="11" t="s">
        <v>985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s="9" customFormat="1" x14ac:dyDescent="0.25">
      <c r="A43" s="10">
        <v>29570</v>
      </c>
      <c r="B43" s="11" t="s">
        <v>986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s="9" customFormat="1" x14ac:dyDescent="0.25">
      <c r="A44" s="10">
        <v>29571</v>
      </c>
      <c r="B44" s="11" t="s">
        <v>947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s="9" customFormat="1" x14ac:dyDescent="0.25">
      <c r="A45" s="10">
        <v>29572</v>
      </c>
      <c r="B45" s="11" t="s">
        <v>987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s="9" customFormat="1" x14ac:dyDescent="0.25">
      <c r="A46" s="10">
        <v>29573</v>
      </c>
      <c r="B46" s="11" t="s">
        <v>988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s="9" customFormat="1" x14ac:dyDescent="0.25">
      <c r="A47" s="10">
        <v>29575</v>
      </c>
      <c r="B47" s="11" t="s">
        <v>989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s="9" customFormat="1" x14ac:dyDescent="0.25">
      <c r="A48" s="10">
        <v>29580</v>
      </c>
      <c r="B48" s="11" t="s">
        <v>990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s="9" customFormat="1" x14ac:dyDescent="0.25">
      <c r="A49" s="10">
        <v>29581</v>
      </c>
      <c r="B49" s="11" t="s">
        <v>990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s="9" customFormat="1" x14ac:dyDescent="0.25">
      <c r="A50" s="10">
        <v>29582</v>
      </c>
      <c r="B50" s="11" t="s">
        <v>991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s="9" customFormat="1" x14ac:dyDescent="0.25">
      <c r="A51" s="10">
        <v>39690</v>
      </c>
      <c r="B51" s="11" t="s">
        <v>992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s="9" customFormat="1" x14ac:dyDescent="0.25">
      <c r="A52" s="10">
        <v>39710</v>
      </c>
      <c r="B52" s="11" t="s">
        <v>993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 s="9" customFormat="1" x14ac:dyDescent="0.25">
      <c r="A53" s="10">
        <v>39720</v>
      </c>
      <c r="B53" s="11" t="s">
        <v>994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s="9" customFormat="1" x14ac:dyDescent="0.25">
      <c r="A54" s="10">
        <v>39721</v>
      </c>
      <c r="B54" s="11" t="s">
        <v>995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s="9" customFormat="1" x14ac:dyDescent="0.25">
      <c r="A55" s="10">
        <v>48110</v>
      </c>
      <c r="B55" s="11" t="s">
        <v>996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s="9" customFormat="1" x14ac:dyDescent="0.25">
      <c r="A56" s="10">
        <v>48121</v>
      </c>
      <c r="B56" s="11" t="s">
        <v>997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s="9" customFormat="1" x14ac:dyDescent="0.25">
      <c r="A57" s="10">
        <v>48122</v>
      </c>
      <c r="B57" s="11" t="s">
        <v>944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s="9" customFormat="1" x14ac:dyDescent="0.25">
      <c r="A58" s="10">
        <v>48123</v>
      </c>
      <c r="B58" s="11" t="s">
        <v>151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 s="9" customFormat="1" x14ac:dyDescent="0.25">
      <c r="A59" s="10">
        <v>48140</v>
      </c>
      <c r="B59" s="11" t="s">
        <v>382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s="9" customFormat="1" x14ac:dyDescent="0.25">
      <c r="A60" s="10">
        <v>48150</v>
      </c>
      <c r="B60" s="11" t="s">
        <v>998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s="9" customFormat="1" x14ac:dyDescent="0.25">
      <c r="A61" s="10">
        <v>48151</v>
      </c>
      <c r="B61" s="11" t="s">
        <v>999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 s="9" customFormat="1" x14ac:dyDescent="0.25">
      <c r="A62" s="10">
        <v>48152</v>
      </c>
      <c r="B62" s="11" t="s">
        <v>663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s="9" customFormat="1" x14ac:dyDescent="0.25">
      <c r="A63" s="10">
        <v>48153</v>
      </c>
      <c r="B63" s="11" t="s">
        <v>664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s="9" customFormat="1" x14ac:dyDescent="0.25">
      <c r="A64" s="10">
        <v>48155</v>
      </c>
      <c r="B64" s="11" t="s">
        <v>1000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 s="9" customFormat="1" x14ac:dyDescent="0.25">
      <c r="A65" s="10">
        <v>48160</v>
      </c>
      <c r="B65" s="11" t="s">
        <v>1001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19" s="9" customFormat="1" x14ac:dyDescent="0.25">
      <c r="A66" s="10">
        <v>48170</v>
      </c>
      <c r="B66" s="11" t="s">
        <v>1002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s="9" customFormat="1" x14ac:dyDescent="0.25">
      <c r="A67" s="10">
        <v>48180</v>
      </c>
      <c r="B67" s="11" t="s">
        <v>1003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s="9" customFormat="1" x14ac:dyDescent="0.25">
      <c r="A68" s="10">
        <v>48190</v>
      </c>
      <c r="B68" s="11" t="s">
        <v>1004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s="9" customFormat="1" x14ac:dyDescent="0.25">
      <c r="A69" s="10">
        <v>48193</v>
      </c>
      <c r="B69" s="11" t="s">
        <v>691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 s="9" customFormat="1" x14ac:dyDescent="0.25">
      <c r="A70" s="10">
        <v>48197</v>
      </c>
      <c r="B70" s="11" t="s">
        <v>1005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19" s="9" customFormat="1" x14ac:dyDescent="0.25">
      <c r="A71" s="10">
        <v>48610</v>
      </c>
      <c r="B71" s="11" t="s">
        <v>1006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19" s="9" customFormat="1" x14ac:dyDescent="0.25">
      <c r="A72" s="10">
        <v>48611</v>
      </c>
      <c r="B72" s="11" t="s">
        <v>1007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1:19" s="9" customFormat="1" x14ac:dyDescent="0.25">
      <c r="A73" s="10">
        <v>48614</v>
      </c>
      <c r="B73" s="11" t="s">
        <v>749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1:19" s="9" customFormat="1" x14ac:dyDescent="0.25">
      <c r="A74" s="10">
        <v>48619</v>
      </c>
      <c r="B74" s="11" t="s">
        <v>1008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1:19" s="9" customFormat="1" x14ac:dyDescent="0.25">
      <c r="A75" s="10">
        <v>48620</v>
      </c>
      <c r="B75" s="11" t="s">
        <v>1009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s="9" customFormat="1" x14ac:dyDescent="0.25">
      <c r="A76" s="10">
        <v>48621</v>
      </c>
      <c r="B76" s="11" t="s">
        <v>745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s="9" customFormat="1" x14ac:dyDescent="0.25">
      <c r="A77" s="10">
        <v>48622</v>
      </c>
      <c r="B77" s="11" t="s">
        <v>652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s="9" customFormat="1" x14ac:dyDescent="0.25">
      <c r="A78" s="10">
        <v>48623</v>
      </c>
      <c r="B78" s="11" t="s">
        <v>1010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s="9" customFormat="1" x14ac:dyDescent="0.25">
      <c r="A79" s="10">
        <v>48624</v>
      </c>
      <c r="B79" s="11" t="s">
        <v>1011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s="9" customFormat="1" x14ac:dyDescent="0.25">
      <c r="A80" s="10">
        <v>48625</v>
      </c>
      <c r="B80" s="11" t="s">
        <v>341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s="9" customFormat="1" x14ac:dyDescent="0.25">
      <c r="A81" s="10">
        <v>48629</v>
      </c>
      <c r="B81" s="11" t="s">
        <v>1012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s="9" customFormat="1" x14ac:dyDescent="0.25">
      <c r="A82" s="10">
        <v>48630</v>
      </c>
      <c r="B82" s="11" t="s">
        <v>1013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s="9" customFormat="1" x14ac:dyDescent="0.25">
      <c r="A83" s="10">
        <v>48635</v>
      </c>
      <c r="B83" s="11" t="s">
        <v>1014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s="9" customFormat="1" x14ac:dyDescent="0.25">
      <c r="A84" s="10">
        <v>48641</v>
      </c>
      <c r="B84" s="11" t="s">
        <v>1015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s="9" customFormat="1" x14ac:dyDescent="0.25">
      <c r="A85" s="10">
        <v>48650</v>
      </c>
      <c r="B85" s="11" t="s">
        <v>1016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s="9" customFormat="1" x14ac:dyDescent="0.25">
      <c r="A86" s="10">
        <v>48651</v>
      </c>
      <c r="B86" s="11" t="s">
        <v>946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s="9" customFormat="1" x14ac:dyDescent="0.25">
      <c r="A87" s="10">
        <v>48658</v>
      </c>
      <c r="B87" s="11" t="s">
        <v>577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1:19" s="9" customFormat="1" x14ac:dyDescent="0.25">
      <c r="A88" s="10">
        <v>48672</v>
      </c>
      <c r="B88" s="11" t="s">
        <v>1017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s="9" customFormat="1" x14ac:dyDescent="0.25">
      <c r="A89" s="10">
        <v>48684</v>
      </c>
      <c r="B89" s="11" t="s">
        <v>748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s="9" customFormat="1" x14ac:dyDescent="0.25">
      <c r="A90" s="10">
        <v>48690</v>
      </c>
      <c r="B90" s="11" t="s">
        <v>1018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s="9" customFormat="1" x14ac:dyDescent="0.25">
      <c r="A91" s="10">
        <v>48691</v>
      </c>
      <c r="B91" s="11" t="s">
        <v>1019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s="9" customFormat="1" x14ac:dyDescent="0.25">
      <c r="A92" s="10">
        <v>48694</v>
      </c>
      <c r="B92" s="11" t="s">
        <v>1020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s="9" customFormat="1" x14ac:dyDescent="0.25">
      <c r="A93" s="10">
        <v>48695</v>
      </c>
      <c r="B93" s="11" t="s">
        <v>1021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s="9" customFormat="1" x14ac:dyDescent="0.25">
      <c r="A94" s="10">
        <v>48699</v>
      </c>
      <c r="B94" s="11" t="s">
        <v>1018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1:19" s="9" customFormat="1" x14ac:dyDescent="0.25">
      <c r="A95" s="10">
        <v>48811</v>
      </c>
      <c r="B95" s="11" t="s">
        <v>1022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1:19" s="9" customFormat="1" x14ac:dyDescent="0.25">
      <c r="A96" s="10">
        <v>48812</v>
      </c>
      <c r="B96" s="11" t="s">
        <v>1023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1:19" s="9" customFormat="1" x14ac:dyDescent="0.25">
      <c r="A97" s="10">
        <v>48813</v>
      </c>
      <c r="B97" s="11" t="s">
        <v>1024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s="9" customFormat="1" x14ac:dyDescent="0.25">
      <c r="A98" s="10">
        <v>48818</v>
      </c>
      <c r="B98" s="11" t="s">
        <v>1025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s="9" customFormat="1" x14ac:dyDescent="0.25">
      <c r="A99" s="10">
        <v>48819</v>
      </c>
      <c r="B99" s="11" t="s">
        <v>1026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1:19" s="9" customFormat="1" x14ac:dyDescent="0.25">
      <c r="A100" s="10">
        <v>48820</v>
      </c>
      <c r="B100" s="11" t="s">
        <v>785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1:19" s="9" customFormat="1" x14ac:dyDescent="0.25">
      <c r="A101" s="10">
        <v>48824</v>
      </c>
      <c r="B101" s="11" t="s">
        <v>394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1:19" s="9" customFormat="1" x14ac:dyDescent="0.25">
      <c r="A102" s="10">
        <v>48829</v>
      </c>
      <c r="B102" s="11" t="s">
        <v>1027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1:19" s="9" customFormat="1" x14ac:dyDescent="0.25">
      <c r="A103" s="10">
        <v>48830</v>
      </c>
      <c r="B103" s="11" t="s">
        <v>1028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1:19" s="9" customFormat="1" x14ac:dyDescent="0.25">
      <c r="A104" s="10">
        <v>48853</v>
      </c>
      <c r="B104" s="11" t="s">
        <v>1029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s="9" customFormat="1" x14ac:dyDescent="0.25">
      <c r="A105" s="10">
        <v>48860</v>
      </c>
      <c r="B105" s="11" t="s">
        <v>789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s="9" customFormat="1" x14ac:dyDescent="0.25">
      <c r="A106" s="10">
        <v>48861</v>
      </c>
      <c r="B106" s="11" t="s">
        <v>1030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s="9" customFormat="1" x14ac:dyDescent="0.25">
      <c r="A107" s="10">
        <v>48862</v>
      </c>
      <c r="B107" s="11" t="s">
        <v>1031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s="9" customFormat="1" x14ac:dyDescent="0.25">
      <c r="A108" s="10">
        <v>48863</v>
      </c>
      <c r="B108" s="11" t="s">
        <v>1032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s="9" customFormat="1" x14ac:dyDescent="0.25">
      <c r="A109" s="10">
        <v>48864</v>
      </c>
      <c r="B109" s="11" t="s">
        <v>1033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1:19" s="9" customFormat="1" x14ac:dyDescent="0.25">
      <c r="A110" s="10">
        <v>48869</v>
      </c>
      <c r="B110" s="11" t="s">
        <v>1034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1:19" s="9" customFormat="1" x14ac:dyDescent="0.25">
      <c r="A111" s="10">
        <v>48870</v>
      </c>
      <c r="B111" s="11" t="s">
        <v>1035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19" s="9" customFormat="1" x14ac:dyDescent="0.25">
      <c r="A112" s="10">
        <v>48871</v>
      </c>
      <c r="B112" s="11" t="s">
        <v>1036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:19" s="9" customFormat="1" x14ac:dyDescent="0.25">
      <c r="A113" s="10">
        <v>48872</v>
      </c>
      <c r="B113" s="11" t="s">
        <v>1037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s="9" customFormat="1" x14ac:dyDescent="0.25">
      <c r="A114" s="10">
        <v>48874</v>
      </c>
      <c r="B114" s="11" t="s">
        <v>1038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1:19" s="9" customFormat="1" x14ac:dyDescent="0.25">
      <c r="A115" s="10">
        <v>48875</v>
      </c>
      <c r="B115" s="11" t="s">
        <v>1039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1:19" s="9" customFormat="1" x14ac:dyDescent="0.25">
      <c r="A116" s="10">
        <v>48876</v>
      </c>
      <c r="B116" s="11" t="s">
        <v>1040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1:19" s="9" customFormat="1" x14ac:dyDescent="0.25">
      <c r="A117" s="10">
        <v>48877</v>
      </c>
      <c r="B117" s="11" t="s">
        <v>1041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1:19" s="9" customFormat="1" x14ac:dyDescent="0.25">
      <c r="A118" s="10">
        <v>48878</v>
      </c>
      <c r="B118" s="11" t="s">
        <v>1042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19" s="9" customFormat="1" x14ac:dyDescent="0.25">
      <c r="A119" s="10">
        <v>48880</v>
      </c>
      <c r="B119" s="11" t="s">
        <v>1043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1:19" s="9" customFormat="1" x14ac:dyDescent="0.25">
      <c r="A120" s="10">
        <v>48881</v>
      </c>
      <c r="B120" s="11" t="s">
        <v>893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1:19" s="9" customFormat="1" x14ac:dyDescent="0.25">
      <c r="A121" s="10">
        <v>48890</v>
      </c>
      <c r="B121" s="11" t="s">
        <v>1044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1:19" s="9" customFormat="1" x14ac:dyDescent="0.25">
      <c r="A122" s="10">
        <v>48899</v>
      </c>
      <c r="B122" s="11" t="s">
        <v>1045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1:19" s="9" customFormat="1" x14ac:dyDescent="0.25">
      <c r="A123" s="10">
        <v>48911</v>
      </c>
      <c r="B123" s="11" t="s">
        <v>1046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s="9" customFormat="1" x14ac:dyDescent="0.25">
      <c r="A124" s="10">
        <v>48912</v>
      </c>
      <c r="B124" s="11" t="s">
        <v>1047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s="9" customFormat="1" x14ac:dyDescent="0.25">
      <c r="A125" s="10">
        <v>48940</v>
      </c>
      <c r="B125" s="11" t="s">
        <v>1048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s="9" customFormat="1" x14ac:dyDescent="0.25">
      <c r="A126" s="10">
        <v>48955</v>
      </c>
      <c r="B126" s="11" t="s">
        <v>1049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1:19" s="9" customFormat="1" x14ac:dyDescent="0.25">
      <c r="A127" s="10">
        <v>48956</v>
      </c>
      <c r="B127" s="11" t="s">
        <v>1050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1:19" s="9" customFormat="1" x14ac:dyDescent="0.25">
      <c r="A128" s="10">
        <v>48957</v>
      </c>
      <c r="B128" s="11" t="s">
        <v>1051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1:19" s="9" customFormat="1" x14ac:dyDescent="0.25">
      <c r="A129" s="10">
        <v>48958</v>
      </c>
      <c r="B129" s="11" t="s">
        <v>1052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1:19" s="9" customFormat="1" x14ac:dyDescent="0.25">
      <c r="A130" s="10">
        <v>48959</v>
      </c>
      <c r="B130" s="11" t="s">
        <v>1053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1:19" s="9" customFormat="1" x14ac:dyDescent="0.25">
      <c r="A131" s="10">
        <v>48966</v>
      </c>
      <c r="B131" s="11" t="s">
        <v>1054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1:19" s="9" customFormat="1" x14ac:dyDescent="0.25">
      <c r="A132" s="10">
        <v>48967</v>
      </c>
      <c r="B132" s="11" t="s">
        <v>1055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1:19" s="9" customFormat="1" x14ac:dyDescent="0.25">
      <c r="A133" s="10">
        <v>48968</v>
      </c>
      <c r="B133" s="11" t="s">
        <v>1056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1:19" s="9" customFormat="1" x14ac:dyDescent="0.25">
      <c r="A134" s="10">
        <v>48970</v>
      </c>
      <c r="B134" s="11" t="s">
        <v>1057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1:19" s="9" customFormat="1" x14ac:dyDescent="0.25">
      <c r="A135" s="10">
        <v>48971</v>
      </c>
      <c r="B135" s="11" t="s">
        <v>1058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1:19" s="9" customFormat="1" x14ac:dyDescent="0.25">
      <c r="A136" s="10">
        <v>48973</v>
      </c>
      <c r="B136" s="11" t="s">
        <v>1059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1:19" s="9" customFormat="1" x14ac:dyDescent="0.25">
      <c r="A137" s="10">
        <v>48976</v>
      </c>
      <c r="B137" s="11" t="s">
        <v>1060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1:19" s="9" customFormat="1" x14ac:dyDescent="0.25">
      <c r="A138" s="10">
        <v>48978</v>
      </c>
      <c r="B138" s="11" t="s">
        <v>1061</v>
      </c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1:19" s="9" customFormat="1" x14ac:dyDescent="0.25">
      <c r="A139" s="10">
        <v>48979</v>
      </c>
      <c r="B139" s="11" t="s">
        <v>1062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1:19" s="9" customFormat="1" x14ac:dyDescent="0.25">
      <c r="A140" s="10">
        <v>48980</v>
      </c>
      <c r="B140" s="11" t="s">
        <v>1063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1:19" s="9" customFormat="1" x14ac:dyDescent="0.25">
      <c r="A141" s="10">
        <v>48981</v>
      </c>
      <c r="B141" s="11" t="s">
        <v>1064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1:19" s="9" customFormat="1" x14ac:dyDescent="0.25">
      <c r="A142" s="10">
        <v>48982</v>
      </c>
      <c r="B142" s="11" t="s">
        <v>1065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1:19" s="9" customFormat="1" x14ac:dyDescent="0.25">
      <c r="A143" s="10">
        <v>48984</v>
      </c>
      <c r="B143" s="11" t="s">
        <v>1066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1:19" s="9" customFormat="1" x14ac:dyDescent="0.25">
      <c r="A144" s="10">
        <v>48985</v>
      </c>
      <c r="B144" s="11" t="s">
        <v>1067</v>
      </c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1:19" s="9" customFormat="1" x14ac:dyDescent="0.25">
      <c r="A145" s="10">
        <v>48989</v>
      </c>
      <c r="B145" s="11" t="s">
        <v>1068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1:19" s="9" customFormat="1" x14ac:dyDescent="0.25">
      <c r="A146" s="10">
        <v>48990</v>
      </c>
      <c r="B146" s="11" t="s">
        <v>1069</v>
      </c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1:19" s="9" customFormat="1" x14ac:dyDescent="0.25">
      <c r="A147" s="10">
        <v>48993</v>
      </c>
      <c r="B147" s="11" t="s">
        <v>1070</v>
      </c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1:19" s="9" customFormat="1" x14ac:dyDescent="0.25">
      <c r="A148" s="10">
        <v>48994</v>
      </c>
      <c r="B148" s="11" t="s">
        <v>1071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1:19" s="9" customFormat="1" x14ac:dyDescent="0.25">
      <c r="A149" s="10">
        <v>48995</v>
      </c>
      <c r="B149" s="11" t="s">
        <v>1072</v>
      </c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1:19" s="9" customFormat="1" x14ac:dyDescent="0.25">
      <c r="A150" s="10">
        <v>51111</v>
      </c>
      <c r="B150" s="11" t="s">
        <v>1073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1:19" s="9" customFormat="1" x14ac:dyDescent="0.25">
      <c r="A151" s="10">
        <v>51140</v>
      </c>
      <c r="B151" s="11" t="s">
        <v>1074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1:19" s="9" customFormat="1" x14ac:dyDescent="0.25">
      <c r="A152" s="10">
        <v>51211</v>
      </c>
      <c r="B152" s="11" t="s">
        <v>1075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1:19" s="9" customFormat="1" x14ac:dyDescent="0.25">
      <c r="A153" s="10">
        <v>51220</v>
      </c>
      <c r="B153" s="11" t="s">
        <v>1254</v>
      </c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1:19" s="9" customFormat="1" x14ac:dyDescent="0.25">
      <c r="A154" s="10">
        <v>51240</v>
      </c>
      <c r="B154" s="11" t="s">
        <v>1076</v>
      </c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1:19" s="9" customFormat="1" x14ac:dyDescent="0.25">
      <c r="A155" s="10">
        <v>51290</v>
      </c>
      <c r="B155" s="11" t="s">
        <v>1077</v>
      </c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1:19" s="9" customFormat="1" x14ac:dyDescent="0.25">
      <c r="A156" s="10">
        <v>51310</v>
      </c>
      <c r="B156" s="11" t="s">
        <v>1078</v>
      </c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1:19" s="9" customFormat="1" x14ac:dyDescent="0.25">
      <c r="A157" s="10">
        <v>51320</v>
      </c>
      <c r="B157" s="11" t="s">
        <v>1079</v>
      </c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1:19" s="9" customFormat="1" x14ac:dyDescent="0.25">
      <c r="A158" s="10">
        <v>51340</v>
      </c>
      <c r="B158" s="11" t="s">
        <v>1080</v>
      </c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1:19" s="9" customFormat="1" x14ac:dyDescent="0.25">
      <c r="A159" s="10">
        <v>51350</v>
      </c>
      <c r="B159" s="11" t="s">
        <v>1081</v>
      </c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1:19" s="9" customFormat="1" x14ac:dyDescent="0.25">
      <c r="A160" s="10">
        <v>51400</v>
      </c>
      <c r="B160" s="11" t="s">
        <v>1082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1:19" s="9" customFormat="1" x14ac:dyDescent="0.25">
      <c r="A161" s="10">
        <v>51490</v>
      </c>
      <c r="B161" s="11" t="s">
        <v>1083</v>
      </c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1:19" s="9" customFormat="1" x14ac:dyDescent="0.25">
      <c r="A162" s="10">
        <v>52110</v>
      </c>
      <c r="B162" s="11" t="s">
        <v>1084</v>
      </c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1:19" s="9" customFormat="1" x14ac:dyDescent="0.25">
      <c r="A163" s="10">
        <v>52111</v>
      </c>
      <c r="B163" s="11" t="s">
        <v>1085</v>
      </c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1:19" s="9" customFormat="1" x14ac:dyDescent="0.25">
      <c r="A164" s="10">
        <v>52119</v>
      </c>
      <c r="B164" s="11" t="s">
        <v>1086</v>
      </c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1:19" s="9" customFormat="1" x14ac:dyDescent="0.25">
      <c r="A165" s="10">
        <v>52120</v>
      </c>
      <c r="B165" s="11" t="s">
        <v>1087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1:19" s="9" customFormat="1" x14ac:dyDescent="0.25">
      <c r="A166" s="10">
        <v>52130</v>
      </c>
      <c r="B166" s="11" t="s">
        <v>1088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1:19" s="9" customFormat="1" x14ac:dyDescent="0.25">
      <c r="A167" s="10">
        <v>52140</v>
      </c>
      <c r="B167" s="11" t="s">
        <v>1089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1:19" s="9" customFormat="1" x14ac:dyDescent="0.25">
      <c r="A168" s="10">
        <v>52150</v>
      </c>
      <c r="B168" s="11" t="s">
        <v>1090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1:19" s="9" customFormat="1" x14ac:dyDescent="0.25">
      <c r="A169" s="10">
        <v>52190</v>
      </c>
      <c r="B169" s="11" t="s">
        <v>1091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1:19" s="9" customFormat="1" x14ac:dyDescent="0.25">
      <c r="A170" s="10">
        <v>52210</v>
      </c>
      <c r="B170" s="11" t="s">
        <v>1092</v>
      </c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1:19" s="9" customFormat="1" x14ac:dyDescent="0.25">
      <c r="A171" s="10">
        <v>52211</v>
      </c>
      <c r="B171" s="11" t="s">
        <v>1093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1:19" s="9" customFormat="1" x14ac:dyDescent="0.25">
      <c r="A172" s="10">
        <v>52310</v>
      </c>
      <c r="B172" s="11" t="s">
        <v>1094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1:19" s="9" customFormat="1" x14ac:dyDescent="0.25">
      <c r="A173" s="10">
        <v>52312</v>
      </c>
      <c r="B173" s="11" t="s">
        <v>1095</v>
      </c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1:19" s="9" customFormat="1" x14ac:dyDescent="0.25">
      <c r="A174" s="10">
        <v>52320</v>
      </c>
      <c r="B174" s="11" t="s">
        <v>1096</v>
      </c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1:19" s="9" customFormat="1" x14ac:dyDescent="0.25">
      <c r="A175" s="10">
        <v>52350</v>
      </c>
      <c r="B175" s="11" t="s">
        <v>1097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1:19" s="9" customFormat="1" x14ac:dyDescent="0.25">
      <c r="A176" s="10">
        <v>52351</v>
      </c>
      <c r="B176" s="11" t="s">
        <v>1098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1:19" s="9" customFormat="1" x14ac:dyDescent="0.25">
      <c r="A177" s="10">
        <v>52390</v>
      </c>
      <c r="B177" s="11" t="s">
        <v>1099</v>
      </c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1:19" s="9" customFormat="1" x14ac:dyDescent="0.25">
      <c r="A178" s="10">
        <v>52410</v>
      </c>
      <c r="B178" s="11" t="s">
        <v>1100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1:19" s="9" customFormat="1" x14ac:dyDescent="0.25">
      <c r="A179" s="10">
        <v>52420</v>
      </c>
      <c r="B179" s="11" t="s">
        <v>1101</v>
      </c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1:19" s="9" customFormat="1" x14ac:dyDescent="0.25">
      <c r="A180" s="10">
        <v>52450</v>
      </c>
      <c r="B180" s="11" t="s">
        <v>1102</v>
      </c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1:19" s="9" customFormat="1" x14ac:dyDescent="0.25">
      <c r="A181" s="10">
        <v>52451</v>
      </c>
      <c r="B181" s="11" t="s">
        <v>1103</v>
      </c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1:19" s="9" customFormat="1" x14ac:dyDescent="0.25">
      <c r="A182" s="10">
        <v>53110</v>
      </c>
      <c r="B182" s="11" t="s">
        <v>1104</v>
      </c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1:19" s="9" customFormat="1" x14ac:dyDescent="0.25">
      <c r="A183" s="10">
        <v>53111</v>
      </c>
      <c r="B183" s="11" t="s">
        <v>1105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1:19" s="9" customFormat="1" x14ac:dyDescent="0.25">
      <c r="A184" s="10">
        <v>53120</v>
      </c>
      <c r="B184" s="11" t="s">
        <v>1106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19" s="9" customFormat="1" x14ac:dyDescent="0.25">
      <c r="A185" s="10">
        <v>53190</v>
      </c>
      <c r="B185" s="11" t="s">
        <v>1107</v>
      </c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1:19" s="9" customFormat="1" x14ac:dyDescent="0.25">
      <c r="A186" s="10">
        <v>53210</v>
      </c>
      <c r="B186" s="11" t="s">
        <v>1108</v>
      </c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1:19" s="9" customFormat="1" x14ac:dyDescent="0.25">
      <c r="A187" s="10">
        <v>53220</v>
      </c>
      <c r="B187" s="11" t="s">
        <v>1109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1:19" s="9" customFormat="1" x14ac:dyDescent="0.25">
      <c r="A188" s="10">
        <v>53290</v>
      </c>
      <c r="B188" s="11" t="s">
        <v>1110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1:19" s="9" customFormat="1" x14ac:dyDescent="0.25">
      <c r="A189" s="10">
        <v>53310</v>
      </c>
      <c r="B189" s="11" t="s">
        <v>1111</v>
      </c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1:19" s="9" customFormat="1" x14ac:dyDescent="0.25">
      <c r="A190" s="10">
        <v>53320</v>
      </c>
      <c r="B190" s="11" t="s">
        <v>1112</v>
      </c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s="9" customFormat="1" x14ac:dyDescent="0.25">
      <c r="A191" s="10">
        <v>53390</v>
      </c>
      <c r="B191" s="11" t="s">
        <v>1113</v>
      </c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1:19" s="9" customFormat="1" x14ac:dyDescent="0.25">
      <c r="A192" s="10">
        <v>53410</v>
      </c>
      <c r="B192" s="11" t="s">
        <v>1114</v>
      </c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1:19" s="9" customFormat="1" x14ac:dyDescent="0.25">
      <c r="A193" s="10">
        <v>53420</v>
      </c>
      <c r="B193" s="11" t="s">
        <v>1115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1:19" s="9" customFormat="1" x14ac:dyDescent="0.25">
      <c r="A194" s="10">
        <v>53490</v>
      </c>
      <c r="B194" s="11" t="s">
        <v>1116</v>
      </c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s="9" customFormat="1" x14ac:dyDescent="0.25">
      <c r="A195" s="10">
        <v>53510</v>
      </c>
      <c r="B195" s="11" t="s">
        <v>1117</v>
      </c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s="9" customFormat="1" x14ac:dyDescent="0.25">
      <c r="A196" s="10">
        <v>53520</v>
      </c>
      <c r="B196" s="11" t="s">
        <v>1118</v>
      </c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</row>
    <row r="197" spans="1:19" s="9" customFormat="1" x14ac:dyDescent="0.25">
      <c r="A197" s="10">
        <v>53590</v>
      </c>
      <c r="B197" s="11" t="s">
        <v>1119</v>
      </c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1:19" s="9" customFormat="1" x14ac:dyDescent="0.25">
      <c r="A198" s="10">
        <v>53610</v>
      </c>
      <c r="B198" s="11" t="s">
        <v>1120</v>
      </c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</row>
    <row r="199" spans="1:19" s="9" customFormat="1" x14ac:dyDescent="0.25">
      <c r="A199" s="10">
        <v>53620</v>
      </c>
      <c r="B199" s="11" t="s">
        <v>1121</v>
      </c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s="9" customFormat="1" x14ac:dyDescent="0.25">
      <c r="A200" s="10">
        <v>53690</v>
      </c>
      <c r="B200" s="11" t="s">
        <v>1122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</row>
    <row r="201" spans="1:19" s="9" customFormat="1" x14ac:dyDescent="0.25">
      <c r="A201" s="10">
        <v>53710</v>
      </c>
      <c r="B201" s="11" t="s">
        <v>1123</v>
      </c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</row>
    <row r="202" spans="1:19" s="9" customFormat="1" x14ac:dyDescent="0.25">
      <c r="A202" s="10">
        <v>53720</v>
      </c>
      <c r="B202" s="11" t="s">
        <v>1124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</row>
    <row r="203" spans="1:19" s="9" customFormat="1" x14ac:dyDescent="0.25">
      <c r="A203" s="10">
        <v>53730</v>
      </c>
      <c r="B203" s="11" t="s">
        <v>1125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</row>
    <row r="204" spans="1:19" s="9" customFormat="1" x14ac:dyDescent="0.25">
      <c r="A204" s="10">
        <v>53740</v>
      </c>
      <c r="B204" s="11" t="s">
        <v>1126</v>
      </c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</row>
    <row r="205" spans="1:19" s="9" customFormat="1" x14ac:dyDescent="0.25">
      <c r="A205" s="10">
        <v>54100</v>
      </c>
      <c r="B205" s="11" t="s">
        <v>1127</v>
      </c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</row>
    <row r="206" spans="1:19" s="9" customFormat="1" x14ac:dyDescent="0.25">
      <c r="A206" s="10">
        <v>54110</v>
      </c>
      <c r="B206" s="11" t="s">
        <v>1128</v>
      </c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</row>
    <row r="207" spans="1:19" s="9" customFormat="1" x14ac:dyDescent="0.25">
      <c r="A207" s="10">
        <v>54190</v>
      </c>
      <c r="B207" s="11" t="s">
        <v>1129</v>
      </c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</row>
    <row r="208" spans="1:19" s="9" customFormat="1" x14ac:dyDescent="0.25">
      <c r="A208" s="10">
        <v>54300</v>
      </c>
      <c r="B208" s="11" t="s">
        <v>1130</v>
      </c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</row>
    <row r="209" spans="1:19" s="9" customFormat="1" x14ac:dyDescent="0.25">
      <c r="A209" s="10">
        <v>54310</v>
      </c>
      <c r="B209" s="11" t="s">
        <v>1132</v>
      </c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</row>
    <row r="210" spans="1:19" s="9" customFormat="1" x14ac:dyDescent="0.25">
      <c r="A210" s="10">
        <v>54320</v>
      </c>
      <c r="B210" s="11" t="s">
        <v>1133</v>
      </c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</row>
    <row r="211" spans="1:19" s="9" customFormat="1" x14ac:dyDescent="0.25">
      <c r="A211" s="10">
        <v>54390</v>
      </c>
      <c r="B211" s="11" t="s">
        <v>1134</v>
      </c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</row>
    <row r="212" spans="1:19" s="9" customFormat="1" x14ac:dyDescent="0.25">
      <c r="A212" s="10">
        <v>55100</v>
      </c>
      <c r="B212" s="11" t="s">
        <v>1135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</row>
    <row r="213" spans="1:19" s="9" customFormat="1" x14ac:dyDescent="0.25">
      <c r="A213" s="10">
        <v>55110</v>
      </c>
      <c r="B213" s="11" t="s">
        <v>1136</v>
      </c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</row>
    <row r="214" spans="1:19" s="9" customFormat="1" x14ac:dyDescent="0.25">
      <c r="A214" s="10">
        <v>55130</v>
      </c>
      <c r="B214" s="11" t="s">
        <v>1137</v>
      </c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</row>
    <row r="215" spans="1:19" s="9" customFormat="1" x14ac:dyDescent="0.25">
      <c r="A215" s="10">
        <v>55190</v>
      </c>
      <c r="B215" s="11" t="s">
        <v>1138</v>
      </c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</row>
    <row r="216" spans="1:19" s="9" customFormat="1" x14ac:dyDescent="0.25">
      <c r="A216" s="10">
        <v>55200</v>
      </c>
      <c r="B216" s="11" t="s">
        <v>1139</v>
      </c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</row>
    <row r="217" spans="1:19" s="9" customFormat="1" x14ac:dyDescent="0.25">
      <c r="A217" s="10">
        <v>55210</v>
      </c>
      <c r="B217" s="11" t="s">
        <v>1140</v>
      </c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</row>
    <row r="218" spans="1:19" s="9" customFormat="1" x14ac:dyDescent="0.25">
      <c r="A218" s="10">
        <v>55220</v>
      </c>
      <c r="B218" s="11" t="s">
        <v>1141</v>
      </c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</row>
    <row r="219" spans="1:19" s="9" customFormat="1" x14ac:dyDescent="0.25">
      <c r="A219" s="10">
        <v>55230</v>
      </c>
      <c r="B219" s="11" t="s">
        <v>1142</v>
      </c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</row>
    <row r="220" spans="1:19" s="9" customFormat="1" x14ac:dyDescent="0.25">
      <c r="A220" s="10">
        <v>55240</v>
      </c>
      <c r="B220" s="11" t="s">
        <v>1143</v>
      </c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</row>
    <row r="221" spans="1:19" s="9" customFormat="1" x14ac:dyDescent="0.25">
      <c r="A221" s="10">
        <v>55400</v>
      </c>
      <c r="B221" s="11" t="s">
        <v>1144</v>
      </c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</row>
    <row r="222" spans="1:19" s="9" customFormat="1" x14ac:dyDescent="0.25">
      <c r="A222" s="10">
        <v>55410</v>
      </c>
      <c r="B222" s="11" t="s">
        <v>1145</v>
      </c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</row>
    <row r="223" spans="1:19" s="9" customFormat="1" x14ac:dyDescent="0.25">
      <c r="A223" s="10">
        <v>55420</v>
      </c>
      <c r="B223" s="11" t="s">
        <v>1146</v>
      </c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</row>
    <row r="224" spans="1:19" s="9" customFormat="1" x14ac:dyDescent="0.25">
      <c r="A224" s="10">
        <v>55430</v>
      </c>
      <c r="B224" s="11" t="s">
        <v>1147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</row>
    <row r="225" spans="1:19" s="9" customFormat="1" x14ac:dyDescent="0.25">
      <c r="A225" s="10">
        <v>55510</v>
      </c>
      <c r="B225" s="11" t="s">
        <v>1148</v>
      </c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</row>
    <row r="226" spans="1:19" s="9" customFormat="1" x14ac:dyDescent="0.25">
      <c r="A226" s="10">
        <v>55520</v>
      </c>
      <c r="B226" s="11" t="s">
        <v>1149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</row>
    <row r="227" spans="1:19" s="9" customFormat="1" x14ac:dyDescent="0.25">
      <c r="A227" s="10">
        <v>55530</v>
      </c>
      <c r="B227" s="11" t="s">
        <v>1150</v>
      </c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</row>
    <row r="228" spans="1:19" s="9" customFormat="1" x14ac:dyDescent="0.25">
      <c r="A228" s="10">
        <v>55539</v>
      </c>
      <c r="B228" s="11" t="s">
        <v>1151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</row>
    <row r="229" spans="1:19" s="9" customFormat="1" x14ac:dyDescent="0.25">
      <c r="A229" s="10">
        <v>55540</v>
      </c>
      <c r="B229" s="11" t="s">
        <v>1152</v>
      </c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</row>
    <row r="230" spans="1:19" s="9" customFormat="1" x14ac:dyDescent="0.25">
      <c r="A230" s="10">
        <v>55550</v>
      </c>
      <c r="B230" s="11" t="s">
        <v>1153</v>
      </c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</row>
    <row r="231" spans="1:19" s="9" customFormat="1" x14ac:dyDescent="0.25">
      <c r="A231" s="10">
        <v>55560</v>
      </c>
      <c r="B231" s="11" t="s">
        <v>1154</v>
      </c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</row>
    <row r="232" spans="1:19" s="9" customFormat="1" x14ac:dyDescent="0.25">
      <c r="A232" s="10">
        <v>55570</v>
      </c>
      <c r="B232" s="11" t="s">
        <v>1155</v>
      </c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</row>
    <row r="233" spans="1:19" s="9" customFormat="1" x14ac:dyDescent="0.25">
      <c r="A233" s="10">
        <v>55590</v>
      </c>
      <c r="B233" s="11" t="s">
        <v>1156</v>
      </c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</row>
    <row r="234" spans="1:19" s="9" customFormat="1" x14ac:dyDescent="0.25">
      <c r="A234" s="10">
        <v>55610</v>
      </c>
      <c r="B234" s="11" t="s">
        <v>1157</v>
      </c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</row>
    <row r="235" spans="1:19" s="9" customFormat="1" x14ac:dyDescent="0.25">
      <c r="A235" s="10">
        <v>55620</v>
      </c>
      <c r="B235" s="11" t="s">
        <v>1158</v>
      </c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</row>
    <row r="236" spans="1:19" s="9" customFormat="1" x14ac:dyDescent="0.25">
      <c r="A236" s="10">
        <v>55625</v>
      </c>
      <c r="B236" s="11" t="s">
        <v>1159</v>
      </c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</row>
    <row r="237" spans="1:19" s="9" customFormat="1" x14ac:dyDescent="0.25">
      <c r="A237" s="10">
        <v>55690</v>
      </c>
      <c r="B237" s="11" t="s">
        <v>1160</v>
      </c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</row>
    <row r="238" spans="1:19" s="9" customFormat="1" x14ac:dyDescent="0.25">
      <c r="A238" s="10">
        <v>55700</v>
      </c>
      <c r="B238" s="11" t="s">
        <v>1161</v>
      </c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</row>
    <row r="239" spans="1:19" s="9" customFormat="1" x14ac:dyDescent="0.25">
      <c r="A239" s="10">
        <v>55702</v>
      </c>
      <c r="B239" s="11" t="s">
        <v>1162</v>
      </c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</row>
    <row r="240" spans="1:19" s="9" customFormat="1" x14ac:dyDescent="0.25">
      <c r="A240" s="10">
        <v>55703</v>
      </c>
      <c r="B240" s="11" t="s">
        <v>1163</v>
      </c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</row>
    <row r="241" spans="1:19" s="9" customFormat="1" x14ac:dyDescent="0.25">
      <c r="A241" s="10">
        <v>55711</v>
      </c>
      <c r="B241" s="11" t="s">
        <v>1164</v>
      </c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</row>
    <row r="242" spans="1:19" s="9" customFormat="1" x14ac:dyDescent="0.25">
      <c r="A242" s="10">
        <v>55712</v>
      </c>
      <c r="B242" s="11" t="s">
        <v>1165</v>
      </c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</row>
    <row r="243" spans="1:19" s="9" customFormat="1" x14ac:dyDescent="0.25">
      <c r="A243" s="10">
        <v>55713</v>
      </c>
      <c r="B243" s="11" t="s">
        <v>1166</v>
      </c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</row>
    <row r="244" spans="1:19" s="9" customFormat="1" x14ac:dyDescent="0.25">
      <c r="A244" s="10">
        <v>55714</v>
      </c>
      <c r="B244" s="11" t="s">
        <v>1167</v>
      </c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</row>
    <row r="245" spans="1:19" s="9" customFormat="1" x14ac:dyDescent="0.25">
      <c r="A245" s="10">
        <v>55715</v>
      </c>
      <c r="B245" s="11" t="s">
        <v>1168</v>
      </c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</row>
    <row r="246" spans="1:19" s="9" customFormat="1" x14ac:dyDescent="0.25">
      <c r="A246" s="10">
        <v>55716</v>
      </c>
      <c r="B246" s="11" t="s">
        <v>1255</v>
      </c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</row>
    <row r="247" spans="1:19" s="9" customFormat="1" x14ac:dyDescent="0.25">
      <c r="A247" s="10">
        <v>55720</v>
      </c>
      <c r="B247" s="11" t="s">
        <v>1169</v>
      </c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</row>
    <row r="248" spans="1:19" s="9" customFormat="1" x14ac:dyDescent="0.25">
      <c r="A248" s="10">
        <v>55722</v>
      </c>
      <c r="B248" s="11" t="s">
        <v>1170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</row>
    <row r="249" spans="1:19" s="9" customFormat="1" x14ac:dyDescent="0.25">
      <c r="A249" s="10">
        <v>55723</v>
      </c>
      <c r="B249" s="11" t="s">
        <v>1171</v>
      </c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</row>
    <row r="250" spans="1:19" s="9" customFormat="1" x14ac:dyDescent="0.25">
      <c r="A250" s="10">
        <v>55790</v>
      </c>
      <c r="B250" s="11" t="s">
        <v>1172</v>
      </c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</row>
    <row r="251" spans="1:19" s="9" customFormat="1" x14ac:dyDescent="0.25">
      <c r="A251" s="10">
        <v>55800</v>
      </c>
      <c r="B251" s="11" t="s">
        <v>1173</v>
      </c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</row>
    <row r="252" spans="1:19" s="9" customFormat="1" x14ac:dyDescent="0.25">
      <c r="A252" s="10">
        <v>55810</v>
      </c>
      <c r="B252" s="11" t="s">
        <v>1174</v>
      </c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</row>
    <row r="253" spans="1:19" s="9" customFormat="1" x14ac:dyDescent="0.25">
      <c r="A253" s="10">
        <v>55820</v>
      </c>
      <c r="B253" s="11" t="s">
        <v>1175</v>
      </c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</row>
    <row r="254" spans="1:19" s="9" customFormat="1" x14ac:dyDescent="0.25">
      <c r="A254" s="10">
        <v>55830</v>
      </c>
      <c r="B254" s="11" t="s">
        <v>1176</v>
      </c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</row>
    <row r="255" spans="1:19" s="9" customFormat="1" x14ac:dyDescent="0.25">
      <c r="A255" s="10">
        <v>55831</v>
      </c>
      <c r="B255" s="11" t="s">
        <v>1177</v>
      </c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</row>
    <row r="256" spans="1:19" s="9" customFormat="1" x14ac:dyDescent="0.25">
      <c r="A256" s="10">
        <v>55832</v>
      </c>
      <c r="B256" s="11" t="s">
        <v>1178</v>
      </c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</row>
    <row r="257" spans="1:19" s="9" customFormat="1" x14ac:dyDescent="0.25">
      <c r="A257" s="10">
        <v>55833</v>
      </c>
      <c r="B257" s="11" t="s">
        <v>1179</v>
      </c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</row>
    <row r="258" spans="1:19" s="9" customFormat="1" x14ac:dyDescent="0.25">
      <c r="A258" s="10">
        <v>55838</v>
      </c>
      <c r="B258" s="11" t="s">
        <v>1180</v>
      </c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</row>
    <row r="259" spans="1:19" s="9" customFormat="1" x14ac:dyDescent="0.25">
      <c r="A259" s="10">
        <v>55840</v>
      </c>
      <c r="B259" s="11" t="s">
        <v>1181</v>
      </c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</row>
    <row r="260" spans="1:19" s="9" customFormat="1" x14ac:dyDescent="0.25">
      <c r="A260" s="10">
        <v>55850</v>
      </c>
      <c r="B260" s="11" t="s">
        <v>1182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</row>
    <row r="261" spans="1:19" s="9" customFormat="1" x14ac:dyDescent="0.25">
      <c r="A261" s="10">
        <v>56100</v>
      </c>
      <c r="B261" s="11" t="s">
        <v>574</v>
      </c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</row>
    <row r="262" spans="1:19" s="9" customFormat="1" x14ac:dyDescent="0.25">
      <c r="A262" s="10">
        <v>56120</v>
      </c>
      <c r="B262" s="11" t="s">
        <v>574</v>
      </c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</row>
    <row r="263" spans="1:19" s="9" customFormat="1" x14ac:dyDescent="0.25">
      <c r="A263" s="10">
        <v>56200</v>
      </c>
      <c r="B263" s="11" t="s">
        <v>538</v>
      </c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</row>
    <row r="264" spans="1:19" s="9" customFormat="1" x14ac:dyDescent="0.25">
      <c r="A264" s="10">
        <v>56201</v>
      </c>
      <c r="B264" s="11" t="s">
        <v>1183</v>
      </c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</row>
    <row r="265" spans="1:19" s="9" customFormat="1" x14ac:dyDescent="0.25">
      <c r="A265" s="10">
        <v>56202</v>
      </c>
      <c r="B265" s="11" t="s">
        <v>1184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</row>
    <row r="266" spans="1:19" s="9" customFormat="1" x14ac:dyDescent="0.25">
      <c r="A266" s="10">
        <v>56203</v>
      </c>
      <c r="B266" s="11" t="s">
        <v>1185</v>
      </c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</row>
    <row r="267" spans="1:19" s="9" customFormat="1" x14ac:dyDescent="0.25">
      <c r="A267" s="10">
        <v>56204</v>
      </c>
      <c r="B267" s="11" t="s">
        <v>1186</v>
      </c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</row>
    <row r="268" spans="1:19" s="9" customFormat="1" x14ac:dyDescent="0.25">
      <c r="A268" s="10">
        <v>56205</v>
      </c>
      <c r="B268" s="11" t="s">
        <v>1187</v>
      </c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</row>
    <row r="269" spans="1:19" s="9" customFormat="1" x14ac:dyDescent="0.25">
      <c r="A269" s="10">
        <v>56206</v>
      </c>
      <c r="B269" s="11" t="s">
        <v>1188</v>
      </c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</row>
    <row r="270" spans="1:19" s="9" customFormat="1" x14ac:dyDescent="0.25">
      <c r="A270" s="10">
        <v>56207</v>
      </c>
      <c r="B270" s="11" t="s">
        <v>1189</v>
      </c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</row>
    <row r="271" spans="1:19" s="9" customFormat="1" x14ac:dyDescent="0.25">
      <c r="A271" s="10">
        <v>56210</v>
      </c>
      <c r="B271" s="11" t="s">
        <v>562</v>
      </c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</row>
    <row r="272" spans="1:19" s="9" customFormat="1" x14ac:dyDescent="0.25">
      <c r="A272" s="10">
        <v>56310</v>
      </c>
      <c r="B272" s="11" t="s">
        <v>323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</row>
    <row r="273" spans="1:19" s="9" customFormat="1" x14ac:dyDescent="0.25">
      <c r="A273" s="10">
        <v>56311</v>
      </c>
      <c r="B273" s="11" t="s">
        <v>1190</v>
      </c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</row>
    <row r="274" spans="1:19" s="9" customFormat="1" x14ac:dyDescent="0.25">
      <c r="A274" s="10">
        <v>56312</v>
      </c>
      <c r="B274" s="11" t="s">
        <v>1191</v>
      </c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</row>
    <row r="275" spans="1:19" s="9" customFormat="1" x14ac:dyDescent="0.25">
      <c r="A275" s="10">
        <v>56413</v>
      </c>
      <c r="B275" s="11" t="s">
        <v>1193</v>
      </c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</row>
    <row r="276" spans="1:19" s="9" customFormat="1" x14ac:dyDescent="0.25">
      <c r="A276" s="10">
        <v>56418</v>
      </c>
      <c r="B276" s="11" t="s">
        <v>1194</v>
      </c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</row>
    <row r="277" spans="1:19" s="9" customFormat="1" x14ac:dyDescent="0.25">
      <c r="A277" s="10">
        <v>57110</v>
      </c>
      <c r="B277" s="11" t="s">
        <v>1195</v>
      </c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</row>
    <row r="278" spans="1:19" s="9" customFormat="1" x14ac:dyDescent="0.25">
      <c r="A278" s="10">
        <v>57120</v>
      </c>
      <c r="B278" s="11" t="s">
        <v>1196</v>
      </c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</row>
    <row r="279" spans="1:19" s="9" customFormat="1" x14ac:dyDescent="0.25">
      <c r="A279" s="10">
        <v>57130</v>
      </c>
      <c r="B279" s="11" t="s">
        <v>1197</v>
      </c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</row>
    <row r="280" spans="1:19" s="9" customFormat="1" x14ac:dyDescent="0.25">
      <c r="A280" s="10">
        <v>57300</v>
      </c>
      <c r="B280" s="11" t="s">
        <v>1198</v>
      </c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</row>
    <row r="281" spans="1:19" s="9" customFormat="1" x14ac:dyDescent="0.25">
      <c r="A281" s="10">
        <v>57301</v>
      </c>
      <c r="B281" s="11" t="s">
        <v>1199</v>
      </c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</row>
    <row r="282" spans="1:19" s="9" customFormat="1" x14ac:dyDescent="0.25">
      <c r="A282" s="10">
        <v>57302</v>
      </c>
      <c r="B282" s="11" t="s">
        <v>1200</v>
      </c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</row>
    <row r="283" spans="1:19" s="9" customFormat="1" x14ac:dyDescent="0.25">
      <c r="A283" s="10">
        <v>57304</v>
      </c>
      <c r="B283" s="11" t="s">
        <v>1201</v>
      </c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</row>
    <row r="284" spans="1:19" s="9" customFormat="1" x14ac:dyDescent="0.25">
      <c r="A284" s="10">
        <v>57305</v>
      </c>
      <c r="B284" s="11" t="s">
        <v>1202</v>
      </c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</row>
    <row r="285" spans="1:19" s="9" customFormat="1" x14ac:dyDescent="0.25">
      <c r="A285" s="10">
        <v>57309</v>
      </c>
      <c r="B285" s="11" t="s">
        <v>1203</v>
      </c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</row>
    <row r="286" spans="1:19" s="9" customFormat="1" x14ac:dyDescent="0.25">
      <c r="A286" s="10">
        <v>57311</v>
      </c>
      <c r="B286" s="11" t="s">
        <v>1204</v>
      </c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</row>
    <row r="287" spans="1:19" s="9" customFormat="1" x14ac:dyDescent="0.25">
      <c r="A287" s="10">
        <v>57314</v>
      </c>
      <c r="B287" s="11" t="s">
        <v>1205</v>
      </c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</row>
    <row r="288" spans="1:19" s="9" customFormat="1" x14ac:dyDescent="0.25">
      <c r="A288" s="10">
        <v>57316</v>
      </c>
      <c r="B288" s="11" t="s">
        <v>1206</v>
      </c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</row>
    <row r="289" spans="1:19" s="9" customFormat="1" x14ac:dyDescent="0.25">
      <c r="A289" s="10">
        <v>57318</v>
      </c>
      <c r="B289" s="11" t="s">
        <v>1207</v>
      </c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</row>
    <row r="290" spans="1:19" s="9" customFormat="1" x14ac:dyDescent="0.25">
      <c r="A290" s="10">
        <v>57319</v>
      </c>
      <c r="B290" s="11" t="s">
        <v>1208</v>
      </c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</row>
    <row r="291" spans="1:19" s="9" customFormat="1" x14ac:dyDescent="0.25">
      <c r="A291" s="10">
        <v>57320</v>
      </c>
      <c r="B291" s="11" t="s">
        <v>1209</v>
      </c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</row>
    <row r="292" spans="1:19" s="9" customFormat="1" x14ac:dyDescent="0.25">
      <c r="A292" s="10">
        <v>57321</v>
      </c>
      <c r="B292" s="11" t="s">
        <v>1210</v>
      </c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</row>
    <row r="293" spans="1:19" s="9" customFormat="1" x14ac:dyDescent="0.25">
      <c r="A293" s="10">
        <v>57326</v>
      </c>
      <c r="B293" s="11" t="s">
        <v>1211</v>
      </c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</row>
    <row r="294" spans="1:19" s="9" customFormat="1" x14ac:dyDescent="0.25">
      <c r="A294" s="10">
        <v>57329</v>
      </c>
      <c r="B294" s="11" t="s">
        <v>1212</v>
      </c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</row>
    <row r="295" spans="1:19" s="9" customFormat="1" x14ac:dyDescent="0.25">
      <c r="A295" s="10">
        <v>57332</v>
      </c>
      <c r="B295" s="11" t="s">
        <v>1213</v>
      </c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</row>
    <row r="296" spans="1:19" s="9" customFormat="1" x14ac:dyDescent="0.25">
      <c r="A296" s="10">
        <v>57333</v>
      </c>
      <c r="B296" s="11" t="s">
        <v>1214</v>
      </c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</row>
    <row r="297" spans="1:19" s="9" customFormat="1" x14ac:dyDescent="0.25">
      <c r="A297" s="10">
        <v>57334</v>
      </c>
      <c r="B297" s="11" t="s">
        <v>1215</v>
      </c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</row>
    <row r="298" spans="1:19" s="9" customFormat="1" x14ac:dyDescent="0.25">
      <c r="A298" s="10">
        <v>57338</v>
      </c>
      <c r="B298" s="11" t="s">
        <v>1216</v>
      </c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</row>
    <row r="299" spans="1:19" s="9" customFormat="1" x14ac:dyDescent="0.25">
      <c r="A299" s="10">
        <v>57342</v>
      </c>
      <c r="B299" s="11" t="s">
        <v>1217</v>
      </c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</row>
    <row r="300" spans="1:19" s="9" customFormat="1" x14ac:dyDescent="0.25">
      <c r="A300" s="10">
        <v>57343</v>
      </c>
      <c r="B300" s="11" t="s">
        <v>1218</v>
      </c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</row>
    <row r="301" spans="1:19" s="9" customFormat="1" x14ac:dyDescent="0.25">
      <c r="A301" s="10">
        <v>57344</v>
      </c>
      <c r="B301" s="11" t="s">
        <v>1219</v>
      </c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</row>
    <row r="302" spans="1:19" s="9" customFormat="1" x14ac:dyDescent="0.25">
      <c r="A302" s="10">
        <v>57345</v>
      </c>
      <c r="B302" s="11" t="s">
        <v>1220</v>
      </c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</row>
    <row r="303" spans="1:19" s="9" customFormat="1" x14ac:dyDescent="0.25">
      <c r="A303" s="10">
        <v>57500</v>
      </c>
      <c r="B303" s="11" t="s">
        <v>1221</v>
      </c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</row>
    <row r="304" spans="1:19" s="9" customFormat="1" x14ac:dyDescent="0.25">
      <c r="A304" s="10">
        <v>57530</v>
      </c>
      <c r="B304" s="11" t="s">
        <v>662</v>
      </c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</row>
    <row r="305" spans="1:19" s="9" customFormat="1" x14ac:dyDescent="0.25">
      <c r="A305" s="10">
        <v>57532</v>
      </c>
      <c r="B305" s="11" t="s">
        <v>664</v>
      </c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</row>
    <row r="306" spans="1:19" s="9" customFormat="1" x14ac:dyDescent="0.25">
      <c r="A306" s="10">
        <v>57534</v>
      </c>
      <c r="B306" s="11" t="s">
        <v>1000</v>
      </c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</row>
    <row r="307" spans="1:19" s="9" customFormat="1" x14ac:dyDescent="0.25">
      <c r="A307" s="10">
        <v>57535</v>
      </c>
      <c r="B307" s="11" t="s">
        <v>663</v>
      </c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</row>
    <row r="308" spans="1:19" s="9" customFormat="1" x14ac:dyDescent="0.25">
      <c r="A308" s="10">
        <v>57538</v>
      </c>
      <c r="B308" s="11" t="s">
        <v>1222</v>
      </c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</row>
    <row r="309" spans="1:19" s="9" customFormat="1" x14ac:dyDescent="0.25">
      <c r="A309" s="10">
        <v>57551</v>
      </c>
      <c r="B309" s="11" t="s">
        <v>1223</v>
      </c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</row>
    <row r="310" spans="1:19" s="9" customFormat="1" x14ac:dyDescent="0.25">
      <c r="A310" s="10">
        <v>57552</v>
      </c>
      <c r="B310" s="11" t="s">
        <v>945</v>
      </c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</row>
    <row r="311" spans="1:19" s="9" customFormat="1" x14ac:dyDescent="0.25">
      <c r="A311" s="10">
        <v>57553</v>
      </c>
      <c r="B311" s="11" t="s">
        <v>744</v>
      </c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</row>
    <row r="312" spans="1:19" s="9" customFormat="1" x14ac:dyDescent="0.25">
      <c r="A312" s="10">
        <v>57554</v>
      </c>
      <c r="B312" s="11" t="s">
        <v>1224</v>
      </c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</row>
    <row r="313" spans="1:19" s="9" customFormat="1" x14ac:dyDescent="0.25">
      <c r="A313" s="10">
        <v>57555</v>
      </c>
      <c r="B313" s="11" t="s">
        <v>1225</v>
      </c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</row>
    <row r="314" spans="1:19" s="9" customFormat="1" x14ac:dyDescent="0.25">
      <c r="A314" s="10">
        <v>57560</v>
      </c>
      <c r="B314" s="11" t="s">
        <v>652</v>
      </c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</row>
    <row r="315" spans="1:19" s="9" customFormat="1" x14ac:dyDescent="0.25">
      <c r="A315" s="10">
        <v>57600</v>
      </c>
      <c r="B315" s="11" t="s">
        <v>1226</v>
      </c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</row>
    <row r="316" spans="1:19" s="9" customFormat="1" x14ac:dyDescent="0.25">
      <c r="A316" s="10">
        <v>57601</v>
      </c>
      <c r="B316" s="11" t="s">
        <v>1027</v>
      </c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</row>
    <row r="317" spans="1:19" s="9" customFormat="1" x14ac:dyDescent="0.25">
      <c r="A317" s="10">
        <v>57900</v>
      </c>
      <c r="B317" s="11" t="s">
        <v>1227</v>
      </c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</row>
    <row r="318" spans="1:19" s="9" customFormat="1" x14ac:dyDescent="0.25">
      <c r="A318" s="10">
        <v>57910</v>
      </c>
      <c r="B318" s="11" t="s">
        <v>1228</v>
      </c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</row>
    <row r="319" spans="1:19" s="9" customFormat="1" x14ac:dyDescent="0.25">
      <c r="A319" s="10">
        <v>57950</v>
      </c>
      <c r="B319" s="11" t="s">
        <v>1229</v>
      </c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</row>
    <row r="320" spans="1:19" s="9" customFormat="1" x14ac:dyDescent="0.25">
      <c r="A320" s="10">
        <v>54301</v>
      </c>
      <c r="B320" s="11" t="s">
        <v>1131</v>
      </c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</row>
    <row r="321" spans="1:19" s="9" customFormat="1" x14ac:dyDescent="0.25">
      <c r="A321" s="10">
        <v>56411</v>
      </c>
      <c r="B321" s="11" t="s">
        <v>1192</v>
      </c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</row>
    <row r="322" spans="1:19" s="9" customFormat="1" x14ac:dyDescent="0.25">
      <c r="A322" s="10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</row>
    <row r="323" spans="1:19" s="9" customFormat="1" x14ac:dyDescent="0.25">
      <c r="A323" s="10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</row>
    <row r="324" spans="1:19" s="9" customFormat="1" x14ac:dyDescent="0.25">
      <c r="A324" s="10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</row>
    <row r="325" spans="1:19" s="9" customFormat="1" x14ac:dyDescent="0.25">
      <c r="A325" s="10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</row>
    <row r="326" spans="1:19" s="9" customFormat="1" x14ac:dyDescent="0.25">
      <c r="A326" s="10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</row>
    <row r="327" spans="1:19" s="9" customFormat="1" x14ac:dyDescent="0.25">
      <c r="A327" s="10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</row>
    <row r="328" spans="1:19" s="9" customFormat="1" x14ac:dyDescent="0.25">
      <c r="A328" s="10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</row>
    <row r="329" spans="1:19" s="9" customFormat="1" x14ac:dyDescent="0.25">
      <c r="A329" s="10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</row>
    <row r="330" spans="1:19" s="9" customFormat="1" x14ac:dyDescent="0.25">
      <c r="A330" s="10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</row>
    <row r="331" spans="1:19" s="9" customFormat="1" x14ac:dyDescent="0.25">
      <c r="A331" s="10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</row>
    <row r="332" spans="1:19" s="9" customFormat="1" x14ac:dyDescent="0.25">
      <c r="A332" s="10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</row>
    <row r="333" spans="1:19" s="9" customFormat="1" x14ac:dyDescent="0.25">
      <c r="A333" s="10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</row>
    <row r="334" spans="1:19" s="9" customFormat="1" x14ac:dyDescent="0.25">
      <c r="A334" s="10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</row>
    <row r="335" spans="1:19" s="9" customFormat="1" x14ac:dyDescent="0.25">
      <c r="A335" s="10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</row>
    <row r="336" spans="1:19" s="9" customFormat="1" x14ac:dyDescent="0.25">
      <c r="A336" s="10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</row>
    <row r="337" spans="1:19" s="9" customFormat="1" x14ac:dyDescent="0.25">
      <c r="A337" s="10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</row>
    <row r="338" spans="1:19" s="9" customFormat="1" x14ac:dyDescent="0.25">
      <c r="A338" s="10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</row>
    <row r="339" spans="1:19" s="9" customFormat="1" x14ac:dyDescent="0.25">
      <c r="A339" s="10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</row>
    <row r="340" spans="1:19" s="9" customFormat="1" x14ac:dyDescent="0.25">
      <c r="A340" s="10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</row>
    <row r="341" spans="1:19" s="9" customFormat="1" x14ac:dyDescent="0.25">
      <c r="A341" s="10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</row>
    <row r="342" spans="1:19" s="9" customFormat="1" x14ac:dyDescent="0.25">
      <c r="A342" s="10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</row>
    <row r="343" spans="1:19" s="9" customFormat="1" x14ac:dyDescent="0.25">
      <c r="A343" s="10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</row>
    <row r="344" spans="1:19" s="9" customFormat="1" x14ac:dyDescent="0.25">
      <c r="A344" s="10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</row>
    <row r="345" spans="1:19" s="9" customFormat="1" x14ac:dyDescent="0.25">
      <c r="A345" s="10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</row>
    <row r="346" spans="1:19" s="9" customFormat="1" x14ac:dyDescent="0.25">
      <c r="A346" s="10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</row>
    <row r="347" spans="1:19" s="9" customFormat="1" x14ac:dyDescent="0.25">
      <c r="A347" s="10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</row>
    <row r="348" spans="1:19" s="9" customFormat="1" x14ac:dyDescent="0.25">
      <c r="A348" s="10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</row>
    <row r="349" spans="1:19" s="9" customFormat="1" x14ac:dyDescent="0.25">
      <c r="A349" s="10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</row>
    <row r="350" spans="1:19" s="9" customFormat="1" x14ac:dyDescent="0.25">
      <c r="A350" s="10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</row>
    <row r="351" spans="1:19" s="9" customFormat="1" x14ac:dyDescent="0.25">
      <c r="A351" s="10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</row>
    <row r="352" spans="1:19" s="9" customFormat="1" x14ac:dyDescent="0.25">
      <c r="A352" s="10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</row>
    <row r="353" spans="1:19" s="9" customFormat="1" x14ac:dyDescent="0.25">
      <c r="A353" s="10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</row>
    <row r="354" spans="1:19" s="9" customFormat="1" x14ac:dyDescent="0.25">
      <c r="A354" s="10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</row>
    <row r="355" spans="1:19" s="9" customFormat="1" x14ac:dyDescent="0.25">
      <c r="A355" s="10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</row>
    <row r="356" spans="1:19" s="9" customFormat="1" x14ac:dyDescent="0.25">
      <c r="A356" s="10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</row>
    <row r="357" spans="1:19" s="9" customFormat="1" x14ac:dyDescent="0.25">
      <c r="A357" s="10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</row>
    <row r="358" spans="1:19" s="9" customFormat="1" x14ac:dyDescent="0.25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</row>
    <row r="359" spans="1:19" s="9" customFormat="1" x14ac:dyDescent="0.25">
      <c r="A359" s="10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</row>
    <row r="360" spans="1:19" s="9" customFormat="1" x14ac:dyDescent="0.25">
      <c r="A360" s="10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</row>
    <row r="361" spans="1:19" s="9" customFormat="1" x14ac:dyDescent="0.25">
      <c r="A361" s="10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</row>
    <row r="362" spans="1:19" s="9" customFormat="1" x14ac:dyDescent="0.25">
      <c r="A362" s="10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</row>
    <row r="363" spans="1:19" s="9" customFormat="1" x14ac:dyDescent="0.25">
      <c r="A363" s="10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</row>
    <row r="364" spans="1:19" s="9" customFormat="1" x14ac:dyDescent="0.25">
      <c r="A364" s="10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</row>
    <row r="365" spans="1:19" s="9" customFormat="1" x14ac:dyDescent="0.25">
      <c r="A365" s="10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</row>
    <row r="366" spans="1:19" s="9" customFormat="1" x14ac:dyDescent="0.25">
      <c r="A366" s="10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</row>
    <row r="367" spans="1:19" s="9" customFormat="1" x14ac:dyDescent="0.25">
      <c r="A367" s="10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</row>
    <row r="368" spans="1:19" s="9" customFormat="1" x14ac:dyDescent="0.25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</row>
    <row r="369" spans="1:19" s="9" customFormat="1" x14ac:dyDescent="0.25">
      <c r="A369" s="10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</row>
    <row r="370" spans="1:19" s="9" customFormat="1" x14ac:dyDescent="0.25">
      <c r="A370" s="10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</row>
    <row r="371" spans="1:19" s="9" customFormat="1" x14ac:dyDescent="0.25">
      <c r="A371" s="10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</row>
    <row r="372" spans="1:19" s="9" customFormat="1" x14ac:dyDescent="0.25">
      <c r="A372" s="10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</row>
    <row r="373" spans="1:19" s="9" customFormat="1" x14ac:dyDescent="0.25">
      <c r="A373" s="10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</row>
    <row r="374" spans="1:19" s="9" customFormat="1" x14ac:dyDescent="0.25">
      <c r="A374" s="10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</row>
    <row r="375" spans="1:19" s="9" customFormat="1" x14ac:dyDescent="0.25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</row>
    <row r="376" spans="1:19" s="9" customFormat="1" x14ac:dyDescent="0.25">
      <c r="A376" s="10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</row>
    <row r="377" spans="1:19" s="9" customFormat="1" x14ac:dyDescent="0.25">
      <c r="A377" s="10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</row>
    <row r="378" spans="1:19" s="9" customFormat="1" x14ac:dyDescent="0.25">
      <c r="A378" s="10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</row>
    <row r="379" spans="1:19" s="9" customFormat="1" x14ac:dyDescent="0.25">
      <c r="A379" s="10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</row>
    <row r="380" spans="1:19" s="9" customFormat="1" x14ac:dyDescent="0.25">
      <c r="A380" s="10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</row>
    <row r="381" spans="1:19" s="9" customFormat="1" x14ac:dyDescent="0.25">
      <c r="A381" s="10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</row>
    <row r="382" spans="1:19" s="9" customFormat="1" x14ac:dyDescent="0.25">
      <c r="A382" s="10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</row>
    <row r="383" spans="1:19" s="9" customFormat="1" x14ac:dyDescent="0.25">
      <c r="A383" s="10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</row>
    <row r="384" spans="1:19" s="9" customFormat="1" x14ac:dyDescent="0.25">
      <c r="A384" s="10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</row>
    <row r="385" spans="1:19" s="9" customFormat="1" x14ac:dyDescent="0.25">
      <c r="A385" s="10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</row>
    <row r="386" spans="1:19" s="9" customFormat="1" x14ac:dyDescent="0.25">
      <c r="A386" s="10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</row>
    <row r="387" spans="1:19" s="9" customFormat="1" x14ac:dyDescent="0.25">
      <c r="A387" s="10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</row>
    <row r="388" spans="1:19" s="9" customFormat="1" x14ac:dyDescent="0.25">
      <c r="A388" s="10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</row>
    <row r="389" spans="1:19" s="9" customFormat="1" x14ac:dyDescent="0.25">
      <c r="A389" s="10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</row>
    <row r="390" spans="1:19" s="9" customFormat="1" x14ac:dyDescent="0.25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</row>
    <row r="391" spans="1:19" s="9" customFormat="1" x14ac:dyDescent="0.25">
      <c r="A391" s="10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</row>
    <row r="392" spans="1:19" s="9" customFormat="1" x14ac:dyDescent="0.25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</row>
    <row r="393" spans="1:19" s="9" customFormat="1" x14ac:dyDescent="0.25">
      <c r="A393" s="10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</row>
    <row r="394" spans="1:19" s="9" customFormat="1" x14ac:dyDescent="0.25">
      <c r="A394" s="10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</row>
    <row r="395" spans="1:19" s="9" customFormat="1" x14ac:dyDescent="0.25">
      <c r="A395" s="10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</row>
    <row r="396" spans="1:19" s="9" customFormat="1" x14ac:dyDescent="0.25">
      <c r="A396" s="10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</row>
    <row r="397" spans="1:19" s="9" customFormat="1" x14ac:dyDescent="0.25">
      <c r="A397" s="10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</row>
    <row r="398" spans="1:19" s="9" customFormat="1" x14ac:dyDescent="0.25">
      <c r="A398" s="10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</row>
    <row r="399" spans="1:19" s="9" customFormat="1" x14ac:dyDescent="0.25">
      <c r="A399" s="10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</row>
    <row r="400" spans="1:19" s="9" customFormat="1" x14ac:dyDescent="0.25">
      <c r="A400" s="10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</row>
    <row r="401" spans="1:19" s="9" customFormat="1" x14ac:dyDescent="0.25">
      <c r="A401" s="10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</row>
    <row r="402" spans="1:19" s="9" customFormat="1" x14ac:dyDescent="0.25">
      <c r="A402" s="10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</row>
    <row r="403" spans="1:19" s="9" customFormat="1" x14ac:dyDescent="0.25">
      <c r="A403" s="10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</row>
    <row r="404" spans="1:19" s="9" customFormat="1" x14ac:dyDescent="0.25">
      <c r="A404" s="10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</row>
    <row r="405" spans="1:19" s="9" customFormat="1" x14ac:dyDescent="0.25">
      <c r="A405" s="10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</row>
    <row r="406" spans="1:19" s="9" customFormat="1" x14ac:dyDescent="0.25">
      <c r="A406" s="10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</row>
    <row r="407" spans="1:19" s="9" customFormat="1" x14ac:dyDescent="0.25">
      <c r="A407" s="10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</row>
    <row r="408" spans="1:19" s="9" customFormat="1" x14ac:dyDescent="0.25">
      <c r="A408" s="10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</row>
    <row r="409" spans="1:19" s="9" customFormat="1" x14ac:dyDescent="0.25">
      <c r="A409" s="10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</row>
    <row r="410" spans="1:19" s="9" customFormat="1" x14ac:dyDescent="0.25">
      <c r="A410" s="10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</row>
    <row r="411" spans="1:19" s="9" customFormat="1" x14ac:dyDescent="0.25">
      <c r="A411" s="10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</row>
    <row r="412" spans="1:19" s="9" customFormat="1" x14ac:dyDescent="0.25">
      <c r="A412" s="10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</row>
    <row r="413" spans="1:19" s="9" customFormat="1" x14ac:dyDescent="0.25">
      <c r="A413" s="10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</row>
    <row r="414" spans="1:19" s="9" customFormat="1" x14ac:dyDescent="0.25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</row>
    <row r="415" spans="1:19" s="9" customFormat="1" x14ac:dyDescent="0.25">
      <c r="A415" s="10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</row>
    <row r="416" spans="1:19" s="9" customFormat="1" x14ac:dyDescent="0.25">
      <c r="A416" s="10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</row>
    <row r="417" spans="1:19" s="9" customFormat="1" x14ac:dyDescent="0.25">
      <c r="A417" s="10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</row>
    <row r="418" spans="1:19" s="9" customFormat="1" x14ac:dyDescent="0.25">
      <c r="A418" s="10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</row>
    <row r="419" spans="1:19" s="9" customFormat="1" x14ac:dyDescent="0.25">
      <c r="A419" s="10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</row>
    <row r="420" spans="1:19" s="9" customFormat="1" x14ac:dyDescent="0.25">
      <c r="A420" s="10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</row>
    <row r="421" spans="1:19" s="9" customFormat="1" x14ac:dyDescent="0.25">
      <c r="A421" s="10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</row>
    <row r="422" spans="1:19" s="9" customFormat="1" x14ac:dyDescent="0.25">
      <c r="A422" s="10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</row>
    <row r="423" spans="1:19" s="9" customFormat="1" x14ac:dyDescent="0.25">
      <c r="A423" s="10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</row>
    <row r="424" spans="1:19" s="9" customFormat="1" x14ac:dyDescent="0.25">
      <c r="A424" s="10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</row>
    <row r="425" spans="1:19" s="9" customFormat="1" x14ac:dyDescent="0.25">
      <c r="A425" s="10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</row>
    <row r="426" spans="1:19" s="9" customFormat="1" x14ac:dyDescent="0.25">
      <c r="A426" s="10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</row>
    <row r="427" spans="1:19" s="9" customFormat="1" x14ac:dyDescent="0.25">
      <c r="A427" s="10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</row>
    <row r="428" spans="1:19" s="9" customFormat="1" x14ac:dyDescent="0.25">
      <c r="A428" s="10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</row>
    <row r="429" spans="1:19" s="9" customFormat="1" x14ac:dyDescent="0.25">
      <c r="A429" s="10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</row>
    <row r="430" spans="1:19" s="9" customFormat="1" x14ac:dyDescent="0.25">
      <c r="A430" s="10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</row>
    <row r="431" spans="1:19" s="9" customFormat="1" x14ac:dyDescent="0.25">
      <c r="A431" s="10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</row>
    <row r="432" spans="1:19" s="9" customFormat="1" x14ac:dyDescent="0.25">
      <c r="A432" s="10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</row>
    <row r="433" spans="1:19" s="9" customFormat="1" x14ac:dyDescent="0.25">
      <c r="A433" s="10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</row>
    <row r="434" spans="1:19" s="9" customFormat="1" x14ac:dyDescent="0.25">
      <c r="A434" s="10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</row>
    <row r="435" spans="1:19" s="9" customFormat="1" x14ac:dyDescent="0.25">
      <c r="A435" s="10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</row>
    <row r="436" spans="1:19" s="9" customFormat="1" x14ac:dyDescent="0.25">
      <c r="A436" s="10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</row>
    <row r="437" spans="1:19" s="9" customFormat="1" x14ac:dyDescent="0.25">
      <c r="A437" s="10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</row>
    <row r="438" spans="1:19" s="9" customFormat="1" x14ac:dyDescent="0.25">
      <c r="A438" s="10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</row>
    <row r="439" spans="1:19" s="9" customFormat="1" x14ac:dyDescent="0.25">
      <c r="A439" s="10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</row>
    <row r="440" spans="1:19" s="9" customFormat="1" x14ac:dyDescent="0.25">
      <c r="A440" s="10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</row>
    <row r="441" spans="1:19" s="9" customFormat="1" x14ac:dyDescent="0.25">
      <c r="A441" s="10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</row>
    <row r="442" spans="1:19" s="9" customFormat="1" x14ac:dyDescent="0.25">
      <c r="A442" s="10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</row>
    <row r="443" spans="1:19" s="9" customFormat="1" x14ac:dyDescent="0.25">
      <c r="A443" s="10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</row>
    <row r="444" spans="1:19" s="9" customFormat="1" x14ac:dyDescent="0.25">
      <c r="A444" s="10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</row>
    <row r="445" spans="1:19" s="9" customFormat="1" x14ac:dyDescent="0.25">
      <c r="A445" s="10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</row>
    <row r="446" spans="1:19" s="9" customFormat="1" x14ac:dyDescent="0.25">
      <c r="A446" s="10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</row>
    <row r="447" spans="1:19" s="9" customFormat="1" x14ac:dyDescent="0.25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</row>
    <row r="448" spans="1:19" s="9" customFormat="1" x14ac:dyDescent="0.25">
      <c r="A448" s="10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</row>
    <row r="449" spans="1:19" s="9" customFormat="1" x14ac:dyDescent="0.25">
      <c r="A449" s="10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</row>
    <row r="450" spans="1:19" s="9" customFormat="1" x14ac:dyDescent="0.25">
      <c r="A450" s="10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</row>
    <row r="451" spans="1:19" s="9" customFormat="1" x14ac:dyDescent="0.25">
      <c r="A451" s="10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</row>
    <row r="452" spans="1:19" s="9" customFormat="1" x14ac:dyDescent="0.25">
      <c r="A452" s="10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</row>
    <row r="453" spans="1:19" s="9" customFormat="1" x14ac:dyDescent="0.25">
      <c r="A453" s="10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</row>
    <row r="454" spans="1:19" s="9" customFormat="1" x14ac:dyDescent="0.25">
      <c r="A454" s="10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</row>
    <row r="455" spans="1:19" s="9" customFormat="1" x14ac:dyDescent="0.25">
      <c r="A455" s="10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</row>
    <row r="456" spans="1:19" s="9" customFormat="1" x14ac:dyDescent="0.25">
      <c r="A456" s="10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</row>
    <row r="457" spans="1:19" s="9" customFormat="1" x14ac:dyDescent="0.25">
      <c r="A457" s="10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</row>
    <row r="458" spans="1:19" s="9" customFormat="1" x14ac:dyDescent="0.25">
      <c r="A458" s="10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</row>
    <row r="459" spans="1:19" s="9" customFormat="1" x14ac:dyDescent="0.25">
      <c r="A459" s="10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</row>
    <row r="460" spans="1:19" s="9" customFormat="1" x14ac:dyDescent="0.25">
      <c r="A460" s="10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</row>
    <row r="461" spans="1:19" s="9" customFormat="1" x14ac:dyDescent="0.25">
      <c r="A461" s="10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</row>
    <row r="462" spans="1:19" s="9" customFormat="1" x14ac:dyDescent="0.25">
      <c r="A462" s="10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</row>
    <row r="463" spans="1:19" s="9" customFormat="1" x14ac:dyDescent="0.25">
      <c r="A463" s="10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</row>
    <row r="464" spans="1:19" s="9" customFormat="1" x14ac:dyDescent="0.25">
      <c r="A464" s="10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</row>
    <row r="465" spans="1:19" s="9" customFormat="1" x14ac:dyDescent="0.25">
      <c r="A465" s="10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</row>
    <row r="466" spans="1:19" s="9" customFormat="1" x14ac:dyDescent="0.25">
      <c r="A466" s="10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</row>
    <row r="467" spans="1:19" s="9" customFormat="1" x14ac:dyDescent="0.25">
      <c r="A467" s="10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</row>
    <row r="468" spans="1:19" s="9" customFormat="1" x14ac:dyDescent="0.25">
      <c r="A468" s="10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</row>
    <row r="469" spans="1:19" s="9" customFormat="1" x14ac:dyDescent="0.25">
      <c r="A469" s="10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</row>
    <row r="470" spans="1:19" s="9" customFormat="1" x14ac:dyDescent="0.25">
      <c r="A470" s="10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</row>
    <row r="471" spans="1:19" s="9" customFormat="1" x14ac:dyDescent="0.25">
      <c r="A471" s="10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</row>
    <row r="472" spans="1:19" s="9" customFormat="1" x14ac:dyDescent="0.25">
      <c r="A472" s="10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</row>
    <row r="473" spans="1:19" s="9" customFormat="1" x14ac:dyDescent="0.25">
      <c r="A473" s="10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</row>
    <row r="474" spans="1:19" s="9" customFormat="1" x14ac:dyDescent="0.25">
      <c r="A474" s="10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</row>
    <row r="475" spans="1:19" s="9" customFormat="1" x14ac:dyDescent="0.25">
      <c r="A475" s="10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</row>
    <row r="476" spans="1:19" s="9" customFormat="1" x14ac:dyDescent="0.25">
      <c r="A476" s="10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</row>
    <row r="477" spans="1:19" s="9" customFormat="1" x14ac:dyDescent="0.25">
      <c r="A477" s="10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</row>
    <row r="478" spans="1:19" s="9" customFormat="1" x14ac:dyDescent="0.25">
      <c r="A478" s="10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</row>
    <row r="479" spans="1:19" s="9" customFormat="1" x14ac:dyDescent="0.25">
      <c r="A479" s="10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</row>
    <row r="480" spans="1:19" s="9" customFormat="1" x14ac:dyDescent="0.25">
      <c r="A480" s="10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</row>
    <row r="481" spans="1:19" s="9" customFormat="1" x14ac:dyDescent="0.25">
      <c r="A481" s="10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</row>
    <row r="482" spans="1:19" s="9" customFormat="1" x14ac:dyDescent="0.25">
      <c r="A482" s="10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</row>
    <row r="483" spans="1:19" s="9" customFormat="1" x14ac:dyDescent="0.25">
      <c r="A483" s="10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</row>
    <row r="484" spans="1:19" s="9" customFormat="1" x14ac:dyDescent="0.25">
      <c r="A484" s="10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</row>
    <row r="485" spans="1:19" s="9" customFormat="1" x14ac:dyDescent="0.25">
      <c r="A485" s="10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</row>
    <row r="486" spans="1:19" s="9" customFormat="1" x14ac:dyDescent="0.25">
      <c r="A486" s="10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</row>
    <row r="487" spans="1:19" s="9" customFormat="1" x14ac:dyDescent="0.25">
      <c r="A487" s="10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</row>
    <row r="488" spans="1:19" s="9" customFormat="1" x14ac:dyDescent="0.25">
      <c r="A488" s="10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</row>
    <row r="489" spans="1:19" s="9" customFormat="1" x14ac:dyDescent="0.25">
      <c r="A489" s="10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</row>
    <row r="490" spans="1:19" s="9" customFormat="1" x14ac:dyDescent="0.25">
      <c r="A490" s="10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</row>
    <row r="491" spans="1:19" s="9" customFormat="1" x14ac:dyDescent="0.25">
      <c r="A491" s="10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</row>
    <row r="492" spans="1:19" s="9" customFormat="1" x14ac:dyDescent="0.25">
      <c r="A492" s="10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</row>
    <row r="493" spans="1:19" s="9" customFormat="1" x14ac:dyDescent="0.25">
      <c r="A493" s="10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</row>
    <row r="494" spans="1:19" s="9" customFormat="1" x14ac:dyDescent="0.25">
      <c r="A494" s="10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</row>
    <row r="495" spans="1:19" s="9" customFormat="1" x14ac:dyDescent="0.25">
      <c r="A495" s="10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</row>
    <row r="496" spans="1:19" s="9" customFormat="1" x14ac:dyDescent="0.25">
      <c r="A496" s="10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</row>
    <row r="497" spans="1:19" s="9" customFormat="1" x14ac:dyDescent="0.25">
      <c r="A497" s="10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</row>
    <row r="498" spans="1:19" s="9" customFormat="1" x14ac:dyDescent="0.25">
      <c r="A498" s="10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</row>
    <row r="499" spans="1:19" s="9" customFormat="1" x14ac:dyDescent="0.25">
      <c r="A499" s="10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</row>
    <row r="500" spans="1:19" s="9" customFormat="1" x14ac:dyDescent="0.25">
      <c r="A500" s="10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</row>
    <row r="501" spans="1:19" s="9" customFormat="1" x14ac:dyDescent="0.25">
      <c r="A501" s="10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</row>
    <row r="502" spans="1:19" s="9" customFormat="1" x14ac:dyDescent="0.25">
      <c r="A502" s="10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</row>
    <row r="503" spans="1:19" s="9" customFormat="1" x14ac:dyDescent="0.25">
      <c r="A503" s="10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</row>
    <row r="504" spans="1:19" s="9" customFormat="1" x14ac:dyDescent="0.25">
      <c r="A504" s="10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</row>
    <row r="505" spans="1:19" s="9" customFormat="1" x14ac:dyDescent="0.25">
      <c r="A505" s="10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</row>
    <row r="506" spans="1:19" s="9" customFormat="1" x14ac:dyDescent="0.25">
      <c r="A506" s="10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</row>
    <row r="507" spans="1:19" s="9" customFormat="1" x14ac:dyDescent="0.25">
      <c r="A507" s="10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</row>
    <row r="508" spans="1:19" s="9" customFormat="1" x14ac:dyDescent="0.25">
      <c r="A508" s="10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</row>
    <row r="509" spans="1:19" s="9" customFormat="1" x14ac:dyDescent="0.25">
      <c r="A509" s="10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</row>
    <row r="510" spans="1:19" s="9" customFormat="1" x14ac:dyDescent="0.25">
      <c r="A510" s="10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</row>
    <row r="511" spans="1:19" s="9" customFormat="1" x14ac:dyDescent="0.25">
      <c r="A511" s="10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</row>
    <row r="512" spans="1:19" s="9" customFormat="1" x14ac:dyDescent="0.25">
      <c r="A512" s="10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</row>
    <row r="513" spans="1:19" s="9" customFormat="1" x14ac:dyDescent="0.25">
      <c r="A513" s="10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</row>
    <row r="514" spans="1:19" s="9" customFormat="1" x14ac:dyDescent="0.25">
      <c r="A514" s="10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</row>
    <row r="515" spans="1:19" s="9" customFormat="1" x14ac:dyDescent="0.25">
      <c r="A515" s="10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</row>
    <row r="516" spans="1:19" s="9" customFormat="1" x14ac:dyDescent="0.25">
      <c r="A516" s="10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</row>
    <row r="517" spans="1:19" s="9" customFormat="1" x14ac:dyDescent="0.25">
      <c r="A517" s="10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</row>
    <row r="518" spans="1:19" s="9" customFormat="1" x14ac:dyDescent="0.25">
      <c r="A518" s="10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</row>
    <row r="519" spans="1:19" s="9" customFormat="1" x14ac:dyDescent="0.25">
      <c r="A519" s="10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</row>
    <row r="520" spans="1:19" s="9" customFormat="1" x14ac:dyDescent="0.25">
      <c r="A520" s="10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</row>
    <row r="521" spans="1:19" s="9" customFormat="1" x14ac:dyDescent="0.25">
      <c r="A521" s="10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</row>
    <row r="522" spans="1:19" s="9" customFormat="1" x14ac:dyDescent="0.25">
      <c r="A522" s="10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</row>
    <row r="523" spans="1:19" s="9" customFormat="1" x14ac:dyDescent="0.25">
      <c r="A523" s="10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</row>
    <row r="524" spans="1:19" s="9" customFormat="1" x14ac:dyDescent="0.25">
      <c r="A524" s="10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</row>
    <row r="525" spans="1:19" s="9" customFormat="1" x14ac:dyDescent="0.25">
      <c r="A525" s="10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</row>
    <row r="526" spans="1:19" s="9" customFormat="1" x14ac:dyDescent="0.25">
      <c r="A526" s="10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</row>
    <row r="527" spans="1:19" s="9" customFormat="1" x14ac:dyDescent="0.25">
      <c r="A527" s="10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</row>
    <row r="528" spans="1:19" s="9" customFormat="1" x14ac:dyDescent="0.25">
      <c r="A528" s="10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</row>
    <row r="529" spans="1:19" s="9" customFormat="1" x14ac:dyDescent="0.25">
      <c r="A529" s="10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</row>
    <row r="530" spans="1:19" s="9" customFormat="1" x14ac:dyDescent="0.25">
      <c r="A530" s="10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</row>
    <row r="531" spans="1:19" s="9" customFormat="1" x14ac:dyDescent="0.25">
      <c r="A531" s="10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</row>
    <row r="532" spans="1:19" s="9" customFormat="1" x14ac:dyDescent="0.25">
      <c r="A532" s="10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</row>
    <row r="533" spans="1:19" s="9" customFormat="1" x14ac:dyDescent="0.25">
      <c r="A533" s="10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</row>
    <row r="534" spans="1:19" s="9" customFormat="1" x14ac:dyDescent="0.25">
      <c r="A534" s="10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</row>
    <row r="535" spans="1:19" s="9" customFormat="1" x14ac:dyDescent="0.25">
      <c r="A535" s="10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</row>
    <row r="536" spans="1:19" s="9" customFormat="1" x14ac:dyDescent="0.25">
      <c r="A536" s="10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</row>
    <row r="537" spans="1:19" s="9" customFormat="1" x14ac:dyDescent="0.25">
      <c r="A537" s="10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</row>
    <row r="538" spans="1:19" s="9" customFormat="1" x14ac:dyDescent="0.25">
      <c r="A538" s="10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</row>
    <row r="539" spans="1:19" s="9" customFormat="1" x14ac:dyDescent="0.25">
      <c r="A539" s="10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</row>
    <row r="540" spans="1:19" s="9" customFormat="1" x14ac:dyDescent="0.25">
      <c r="A540" s="10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</row>
    <row r="541" spans="1:19" s="9" customFormat="1" x14ac:dyDescent="0.25">
      <c r="A541" s="10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</row>
    <row r="542" spans="1:19" s="9" customFormat="1" x14ac:dyDescent="0.25">
      <c r="A542" s="10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</row>
    <row r="543" spans="1:19" s="9" customFormat="1" x14ac:dyDescent="0.25">
      <c r="A543" s="10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</row>
    <row r="544" spans="1:19" s="9" customFormat="1" x14ac:dyDescent="0.25">
      <c r="A544" s="10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</row>
    <row r="545" spans="1:19" s="9" customFormat="1" x14ac:dyDescent="0.25">
      <c r="A545" s="10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</row>
    <row r="546" spans="1:19" s="9" customFormat="1" x14ac:dyDescent="0.25">
      <c r="A546" s="10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</row>
    <row r="547" spans="1:19" s="9" customFormat="1" x14ac:dyDescent="0.25">
      <c r="A547" s="10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</row>
    <row r="548" spans="1:19" s="9" customFormat="1" x14ac:dyDescent="0.25">
      <c r="A548" s="10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</row>
    <row r="549" spans="1:19" s="9" customFormat="1" x14ac:dyDescent="0.25">
      <c r="A549" s="10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</row>
    <row r="550" spans="1:19" s="9" customFormat="1" x14ac:dyDescent="0.25">
      <c r="A550" s="10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</row>
    <row r="551" spans="1:19" s="9" customFormat="1" x14ac:dyDescent="0.25">
      <c r="A551" s="10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</row>
    <row r="552" spans="1:19" s="9" customFormat="1" x14ac:dyDescent="0.25">
      <c r="A552" s="10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</row>
    <row r="553" spans="1:19" s="9" customFormat="1" x14ac:dyDescent="0.25">
      <c r="A553" s="10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</row>
    <row r="554" spans="1:19" s="9" customFormat="1" x14ac:dyDescent="0.25">
      <c r="A554" s="10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</row>
    <row r="555" spans="1:19" s="9" customFormat="1" x14ac:dyDescent="0.25">
      <c r="A555" s="10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</row>
    <row r="556" spans="1:19" s="9" customFormat="1" x14ac:dyDescent="0.25">
      <c r="A556" s="10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</row>
    <row r="557" spans="1:19" s="9" customFormat="1" x14ac:dyDescent="0.25">
      <c r="A557" s="10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</row>
    <row r="558" spans="1:19" s="9" customFormat="1" x14ac:dyDescent="0.25">
      <c r="A558" s="10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</row>
    <row r="559" spans="1:19" s="9" customFormat="1" x14ac:dyDescent="0.25">
      <c r="A559" s="10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</row>
    <row r="560" spans="1:19" s="9" customFormat="1" x14ac:dyDescent="0.25">
      <c r="A560" s="10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</row>
    <row r="561" spans="1:19" s="9" customFormat="1" x14ac:dyDescent="0.25">
      <c r="A561" s="10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</row>
    <row r="562" spans="1:19" s="9" customFormat="1" x14ac:dyDescent="0.25">
      <c r="A562" s="10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</row>
    <row r="563" spans="1:19" s="9" customFormat="1" x14ac:dyDescent="0.25">
      <c r="A563" s="10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</row>
    <row r="564" spans="1:19" s="9" customFormat="1" x14ac:dyDescent="0.25">
      <c r="A564" s="10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</row>
    <row r="565" spans="1:19" s="9" customFormat="1" x14ac:dyDescent="0.25">
      <c r="A565" s="10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</row>
    <row r="566" spans="1:19" s="9" customFormat="1" x14ac:dyDescent="0.25">
      <c r="A566" s="10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</row>
    <row r="567" spans="1:19" s="9" customFormat="1" x14ac:dyDescent="0.25">
      <c r="A567" s="10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</row>
    <row r="568" spans="1:19" s="9" customFormat="1" x14ac:dyDescent="0.25">
      <c r="A568" s="10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</row>
    <row r="569" spans="1:19" s="9" customFormat="1" x14ac:dyDescent="0.25">
      <c r="A569" s="10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</row>
    <row r="570" spans="1:19" s="9" customFormat="1" x14ac:dyDescent="0.25">
      <c r="A570" s="10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</row>
    <row r="571" spans="1:19" s="9" customFormat="1" x14ac:dyDescent="0.25">
      <c r="A571" s="10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</row>
    <row r="572" spans="1:19" s="9" customFormat="1" x14ac:dyDescent="0.25">
      <c r="A572" s="10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</row>
    <row r="573" spans="1:19" s="9" customFormat="1" x14ac:dyDescent="0.25">
      <c r="A573" s="10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</row>
    <row r="574" spans="1:19" s="9" customFormat="1" x14ac:dyDescent="0.25">
      <c r="A574" s="10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</row>
    <row r="575" spans="1:19" s="9" customFormat="1" x14ac:dyDescent="0.25">
      <c r="A575" s="10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</row>
    <row r="576" spans="1:19" s="9" customFormat="1" x14ac:dyDescent="0.25">
      <c r="A576" s="10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</row>
    <row r="577" spans="1:19" s="9" customFormat="1" x14ac:dyDescent="0.25">
      <c r="A577" s="10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</row>
    <row r="578" spans="1:19" s="9" customFormat="1" x14ac:dyDescent="0.25">
      <c r="A578" s="10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</row>
    <row r="579" spans="1:19" s="9" customFormat="1" x14ac:dyDescent="0.25">
      <c r="A579" s="10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</row>
    <row r="580" spans="1:19" s="9" customFormat="1" x14ac:dyDescent="0.25">
      <c r="A580" s="10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</row>
    <row r="581" spans="1:19" s="9" customFormat="1" x14ac:dyDescent="0.25">
      <c r="A581" s="10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</row>
    <row r="582" spans="1:19" s="9" customFormat="1" x14ac:dyDescent="0.25">
      <c r="A582" s="10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</row>
    <row r="583" spans="1:19" s="9" customFormat="1" x14ac:dyDescent="0.25">
      <c r="A583" s="10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</row>
    <row r="584" spans="1:19" s="9" customFormat="1" x14ac:dyDescent="0.25">
      <c r="A584" s="10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</row>
    <row r="585" spans="1:19" s="9" customFormat="1" x14ac:dyDescent="0.25">
      <c r="A585" s="10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</row>
    <row r="586" spans="1:19" s="9" customFormat="1" x14ac:dyDescent="0.25">
      <c r="A586" s="10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</row>
    <row r="587" spans="1:19" s="9" customFormat="1" x14ac:dyDescent="0.25">
      <c r="A587" s="10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</row>
    <row r="588" spans="1:19" s="9" customFormat="1" x14ac:dyDescent="0.25">
      <c r="A588" s="10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</row>
    <row r="589" spans="1:19" s="9" customFormat="1" x14ac:dyDescent="0.25">
      <c r="A589" s="10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</row>
    <row r="590" spans="1:19" s="9" customFormat="1" x14ac:dyDescent="0.25">
      <c r="A590" s="10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</row>
    <row r="591" spans="1:19" s="9" customFormat="1" x14ac:dyDescent="0.25">
      <c r="A591" s="10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</row>
    <row r="592" spans="1:19" s="9" customFormat="1" x14ac:dyDescent="0.25">
      <c r="A592" s="10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</row>
    <row r="593" spans="1:19" s="9" customFormat="1" x14ac:dyDescent="0.25">
      <c r="A593" s="10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</row>
    <row r="594" spans="1:19" s="9" customFormat="1" x14ac:dyDescent="0.25">
      <c r="A594" s="10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</row>
    <row r="595" spans="1:19" s="9" customFormat="1" x14ac:dyDescent="0.25">
      <c r="A595" s="10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</row>
    <row r="596" spans="1:19" s="9" customFormat="1" x14ac:dyDescent="0.25">
      <c r="A596" s="10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</row>
    <row r="597" spans="1:19" s="9" customFormat="1" x14ac:dyDescent="0.25">
      <c r="A597" s="10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</row>
    <row r="598" spans="1:19" s="9" customFormat="1" x14ac:dyDescent="0.25">
      <c r="A598" s="10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</row>
    <row r="599" spans="1:19" s="9" customFormat="1" x14ac:dyDescent="0.25">
      <c r="A599" s="10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</row>
    <row r="600" spans="1:19" s="9" customFormat="1" x14ac:dyDescent="0.25">
      <c r="A600" s="10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</row>
    <row r="601" spans="1:19" s="9" customFormat="1" x14ac:dyDescent="0.25">
      <c r="A601" s="10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</row>
    <row r="602" spans="1:19" s="9" customFormat="1" x14ac:dyDescent="0.25">
      <c r="A602" s="10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</row>
    <row r="603" spans="1:19" s="9" customFormat="1" x14ac:dyDescent="0.25">
      <c r="A603" s="10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</row>
    <row r="604" spans="1:19" s="9" customFormat="1" x14ac:dyDescent="0.25">
      <c r="A604" s="10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</row>
    <row r="605" spans="1:19" s="9" customFormat="1" x14ac:dyDescent="0.25">
      <c r="A605" s="10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</row>
    <row r="606" spans="1:19" s="9" customFormat="1" x14ac:dyDescent="0.25">
      <c r="A606" s="10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</row>
    <row r="607" spans="1:19" s="9" customFormat="1" x14ac:dyDescent="0.25">
      <c r="A607" s="10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</row>
    <row r="608" spans="1:19" s="9" customFormat="1" x14ac:dyDescent="0.25">
      <c r="A608" s="10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</row>
    <row r="609" spans="1:19" s="9" customFormat="1" x14ac:dyDescent="0.25">
      <c r="A609" s="10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</row>
    <row r="610" spans="1:19" s="9" customFormat="1" x14ac:dyDescent="0.25">
      <c r="A610" s="10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</row>
    <row r="611" spans="1:19" s="9" customFormat="1" x14ac:dyDescent="0.25">
      <c r="A611" s="10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</row>
    <row r="612" spans="1:19" s="9" customFormat="1" x14ac:dyDescent="0.25">
      <c r="A612" s="10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</row>
    <row r="613" spans="1:19" s="9" customFormat="1" x14ac:dyDescent="0.25">
      <c r="A613" s="10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</row>
    <row r="614" spans="1:19" s="9" customFormat="1" x14ac:dyDescent="0.25">
      <c r="A614" s="10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</row>
    <row r="615" spans="1:19" s="9" customFormat="1" x14ac:dyDescent="0.25">
      <c r="A615" s="10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</row>
    <row r="616" spans="1:19" s="9" customFormat="1" x14ac:dyDescent="0.25">
      <c r="A616" s="10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</row>
    <row r="617" spans="1:19" s="9" customFormat="1" x14ac:dyDescent="0.25">
      <c r="A617" s="10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</row>
    <row r="618" spans="1:19" s="9" customFormat="1" x14ac:dyDescent="0.25">
      <c r="A618" s="10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</row>
    <row r="619" spans="1:19" s="9" customFormat="1" x14ac:dyDescent="0.25">
      <c r="A619" s="10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</row>
    <row r="620" spans="1:19" s="9" customFormat="1" x14ac:dyDescent="0.25">
      <c r="A620" s="10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</row>
    <row r="621" spans="1:19" s="9" customFormat="1" x14ac:dyDescent="0.25">
      <c r="A621" s="10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</row>
    <row r="622" spans="1:19" s="9" customFormat="1" x14ac:dyDescent="0.25">
      <c r="A622" s="10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</row>
    <row r="623" spans="1:19" s="9" customFormat="1" x14ac:dyDescent="0.25">
      <c r="A623" s="10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</row>
    <row r="624" spans="1:19" s="9" customFormat="1" x14ac:dyDescent="0.25">
      <c r="A624" s="10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</row>
    <row r="625" spans="1:19" s="9" customFormat="1" x14ac:dyDescent="0.25">
      <c r="A625" s="10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</row>
    <row r="626" spans="1:19" s="9" customFormat="1" x14ac:dyDescent="0.25">
      <c r="A626" s="10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</row>
    <row r="627" spans="1:19" s="9" customFormat="1" x14ac:dyDescent="0.25">
      <c r="A627" s="10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</row>
    <row r="628" spans="1:19" s="9" customFormat="1" x14ac:dyDescent="0.25">
      <c r="A628" s="10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</row>
    <row r="629" spans="1:19" s="9" customFormat="1" x14ac:dyDescent="0.25">
      <c r="A629" s="10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</row>
    <row r="630" spans="1:19" s="9" customFormat="1" x14ac:dyDescent="0.25">
      <c r="A630" s="10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</row>
    <row r="631" spans="1:19" s="9" customFormat="1" x14ac:dyDescent="0.25">
      <c r="A631" s="10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</row>
    <row r="632" spans="1:19" s="9" customFormat="1" x14ac:dyDescent="0.25">
      <c r="A632" s="10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</row>
    <row r="633" spans="1:19" s="9" customFormat="1" x14ac:dyDescent="0.25">
      <c r="A633" s="10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</row>
    <row r="634" spans="1:19" s="9" customFormat="1" x14ac:dyDescent="0.25">
      <c r="A634" s="10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</row>
    <row r="635" spans="1:19" s="9" customFormat="1" x14ac:dyDescent="0.25">
      <c r="A635" s="10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</row>
    <row r="636" spans="1:19" s="9" customFormat="1" x14ac:dyDescent="0.25">
      <c r="A636" s="10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</row>
    <row r="637" spans="1:19" s="9" customFormat="1" x14ac:dyDescent="0.25">
      <c r="A637" s="10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</row>
    <row r="638" spans="1:19" s="9" customFormat="1" x14ac:dyDescent="0.25">
      <c r="A638" s="10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</row>
    <row r="639" spans="1:19" s="9" customFormat="1" x14ac:dyDescent="0.25">
      <c r="A639" s="10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</row>
    <row r="640" spans="1:19" s="9" customFormat="1" x14ac:dyDescent="0.25">
      <c r="A640" s="10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</row>
    <row r="641" spans="1:19" s="9" customFormat="1" x14ac:dyDescent="0.25">
      <c r="A641" s="10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</row>
    <row r="642" spans="1:19" s="9" customFormat="1" x14ac:dyDescent="0.25">
      <c r="A642" s="10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</row>
    <row r="643" spans="1:19" s="9" customFormat="1" x14ac:dyDescent="0.25">
      <c r="A643" s="10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</row>
    <row r="644" spans="1:19" s="9" customFormat="1" x14ac:dyDescent="0.25">
      <c r="A644" s="10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</row>
    <row r="645" spans="1:19" s="9" customFormat="1" x14ac:dyDescent="0.25">
      <c r="A645" s="10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</row>
    <row r="646" spans="1:19" s="9" customFormat="1" x14ac:dyDescent="0.25">
      <c r="A646" s="10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</row>
    <row r="647" spans="1:19" s="9" customFormat="1" x14ac:dyDescent="0.25">
      <c r="A647" s="10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</row>
    <row r="648" spans="1:19" s="9" customFormat="1" x14ac:dyDescent="0.25">
      <c r="A648" s="10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</row>
    <row r="649" spans="1:19" s="9" customFormat="1" x14ac:dyDescent="0.25">
      <c r="A649" s="10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</row>
    <row r="650" spans="1:19" s="9" customFormat="1" x14ac:dyDescent="0.25">
      <c r="A650" s="10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</row>
    <row r="651" spans="1:19" s="9" customFormat="1" x14ac:dyDescent="0.25">
      <c r="A651" s="10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</row>
    <row r="652" spans="1:19" s="9" customFormat="1" x14ac:dyDescent="0.25">
      <c r="A652" s="10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</row>
    <row r="653" spans="1:19" s="9" customFormat="1" x14ac:dyDescent="0.25">
      <c r="A653" s="10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</row>
    <row r="654" spans="1:19" s="9" customFormat="1" x14ac:dyDescent="0.25">
      <c r="A654" s="10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</row>
    <row r="655" spans="1:19" s="9" customFormat="1" x14ac:dyDescent="0.25">
      <c r="A655" s="10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</row>
    <row r="656" spans="1:19" s="9" customFormat="1" x14ac:dyDescent="0.25">
      <c r="A656" s="10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</row>
    <row r="657" spans="1:19" s="9" customFormat="1" x14ac:dyDescent="0.25">
      <c r="A657" s="10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</row>
    <row r="658" spans="1:19" s="9" customFormat="1" x14ac:dyDescent="0.25">
      <c r="A658" s="10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</row>
    <row r="659" spans="1:19" s="9" customFormat="1" x14ac:dyDescent="0.25">
      <c r="A659" s="10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</row>
    <row r="660" spans="1:19" s="9" customFormat="1" x14ac:dyDescent="0.25">
      <c r="A660" s="10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</row>
    <row r="661" spans="1:19" s="9" customFormat="1" x14ac:dyDescent="0.25">
      <c r="A661" s="10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</row>
    <row r="662" spans="1:19" s="9" customFormat="1" x14ac:dyDescent="0.25">
      <c r="A662" s="10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</row>
    <row r="663" spans="1:19" s="9" customFormat="1" x14ac:dyDescent="0.25">
      <c r="A663" s="10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</row>
    <row r="664" spans="1:19" s="9" customFormat="1" x14ac:dyDescent="0.25">
      <c r="A664" s="10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</row>
    <row r="665" spans="1:19" s="9" customFormat="1" x14ac:dyDescent="0.25">
      <c r="A665" s="10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</row>
    <row r="666" spans="1:19" s="9" customFormat="1" x14ac:dyDescent="0.25">
      <c r="A666" s="10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</row>
    <row r="667" spans="1:19" s="9" customFormat="1" x14ac:dyDescent="0.25">
      <c r="A667" s="10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</row>
    <row r="668" spans="1:19" s="9" customFormat="1" x14ac:dyDescent="0.25">
      <c r="A668" s="10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</row>
    <row r="669" spans="1:19" s="9" customFormat="1" x14ac:dyDescent="0.25">
      <c r="A669" s="10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</row>
    <row r="670" spans="1:19" s="9" customFormat="1" x14ac:dyDescent="0.25">
      <c r="A670" s="10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</row>
    <row r="671" spans="1:19" s="9" customFormat="1" x14ac:dyDescent="0.25">
      <c r="A671" s="10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</row>
    <row r="672" spans="1:19" s="9" customFormat="1" x14ac:dyDescent="0.25">
      <c r="A672" s="10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</row>
    <row r="673" spans="1:19" s="9" customFormat="1" x14ac:dyDescent="0.25">
      <c r="A673" s="10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</row>
    <row r="674" spans="1:19" s="9" customFormat="1" x14ac:dyDescent="0.25">
      <c r="A674" s="10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</row>
    <row r="675" spans="1:19" s="9" customFormat="1" x14ac:dyDescent="0.25">
      <c r="A675" s="10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</row>
    <row r="676" spans="1:19" s="9" customFormat="1" x14ac:dyDescent="0.25">
      <c r="A676" s="10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</row>
    <row r="677" spans="1:19" s="9" customFormat="1" x14ac:dyDescent="0.25">
      <c r="A677" s="10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</row>
    <row r="678" spans="1:19" s="9" customFormat="1" x14ac:dyDescent="0.25">
      <c r="A678" s="10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</row>
    <row r="679" spans="1:19" s="9" customFormat="1" x14ac:dyDescent="0.25">
      <c r="A679" s="10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</row>
    <row r="680" spans="1:19" s="9" customFormat="1" x14ac:dyDescent="0.25">
      <c r="A680" s="10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</row>
    <row r="681" spans="1:19" s="9" customFormat="1" x14ac:dyDescent="0.25">
      <c r="A681" s="10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</row>
    <row r="682" spans="1:19" s="9" customFormat="1" x14ac:dyDescent="0.25">
      <c r="A682" s="10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</row>
    <row r="683" spans="1:19" s="9" customFormat="1" x14ac:dyDescent="0.25">
      <c r="A683" s="10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</row>
    <row r="684" spans="1:19" s="9" customFormat="1" x14ac:dyDescent="0.25">
      <c r="A684" s="10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</row>
    <row r="685" spans="1:19" s="9" customFormat="1" x14ac:dyDescent="0.25">
      <c r="A685" s="10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</row>
    <row r="686" spans="1:19" s="9" customFormat="1" x14ac:dyDescent="0.25">
      <c r="A686" s="10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</row>
    <row r="687" spans="1:19" s="9" customFormat="1" x14ac:dyDescent="0.25">
      <c r="A687" s="10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</row>
    <row r="688" spans="1:19" s="9" customFormat="1" x14ac:dyDescent="0.25">
      <c r="A688" s="10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</row>
    <row r="689" spans="1:19" s="9" customFormat="1" x14ac:dyDescent="0.25">
      <c r="A689" s="10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</row>
    <row r="690" spans="1:19" s="9" customFormat="1" x14ac:dyDescent="0.25">
      <c r="A690" s="10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</row>
    <row r="691" spans="1:19" s="9" customFormat="1" x14ac:dyDescent="0.25">
      <c r="A691" s="10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</row>
    <row r="692" spans="1:19" s="9" customFormat="1" x14ac:dyDescent="0.25">
      <c r="A692" s="10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</row>
    <row r="693" spans="1:19" s="9" customFormat="1" x14ac:dyDescent="0.25">
      <c r="A693" s="10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</row>
    <row r="694" spans="1:19" s="9" customFormat="1" x14ac:dyDescent="0.25">
      <c r="A694" s="10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</row>
    <row r="695" spans="1:19" s="9" customFormat="1" x14ac:dyDescent="0.25">
      <c r="A695" s="10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</row>
    <row r="696" spans="1:19" s="9" customFormat="1" x14ac:dyDescent="0.25">
      <c r="A696" s="10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</row>
    <row r="697" spans="1:19" s="9" customFormat="1" x14ac:dyDescent="0.25">
      <c r="A697" s="10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</row>
    <row r="698" spans="1:19" s="9" customFormat="1" x14ac:dyDescent="0.25">
      <c r="A698" s="10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</row>
    <row r="699" spans="1:19" s="9" customFormat="1" x14ac:dyDescent="0.25">
      <c r="A699" s="10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</row>
    <row r="700" spans="1:19" s="9" customFormat="1" x14ac:dyDescent="0.25">
      <c r="A700" s="10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</row>
    <row r="701" spans="1:19" s="9" customFormat="1" x14ac:dyDescent="0.25">
      <c r="A701" s="10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</row>
    <row r="702" spans="1:19" s="9" customFormat="1" x14ac:dyDescent="0.25">
      <c r="A702" s="10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</row>
    <row r="703" spans="1:19" s="9" customFormat="1" x14ac:dyDescent="0.25">
      <c r="A703" s="10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</row>
    <row r="704" spans="1:19" s="9" customFormat="1" x14ac:dyDescent="0.25">
      <c r="A704" s="10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</row>
    <row r="705" spans="1:19" s="9" customFormat="1" x14ac:dyDescent="0.25">
      <c r="A705" s="10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</row>
    <row r="706" spans="1:19" s="9" customFormat="1" x14ac:dyDescent="0.25">
      <c r="A706" s="10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</row>
    <row r="707" spans="1:19" s="9" customFormat="1" x14ac:dyDescent="0.25">
      <c r="A707" s="10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</row>
    <row r="708" spans="1:19" s="9" customFormat="1" x14ac:dyDescent="0.25">
      <c r="A708" s="10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</row>
    <row r="709" spans="1:19" s="9" customFormat="1" x14ac:dyDescent="0.25">
      <c r="A709" s="10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</row>
    <row r="710" spans="1:19" s="9" customFormat="1" x14ac:dyDescent="0.25">
      <c r="A710" s="10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</row>
    <row r="711" spans="1:19" s="9" customFormat="1" x14ac:dyDescent="0.25">
      <c r="A711" s="10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</row>
    <row r="712" spans="1:19" s="9" customFormat="1" x14ac:dyDescent="0.25">
      <c r="A712" s="10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</row>
    <row r="713" spans="1:19" s="9" customFormat="1" x14ac:dyDescent="0.25">
      <c r="A713" s="10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</row>
    <row r="714" spans="1:19" s="9" customFormat="1" x14ac:dyDescent="0.25">
      <c r="A714" s="10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</row>
    <row r="715" spans="1:19" s="9" customFormat="1" x14ac:dyDescent="0.25">
      <c r="A715" s="10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</row>
    <row r="716" spans="1:19" s="9" customFormat="1" x14ac:dyDescent="0.25">
      <c r="A716" s="10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</row>
    <row r="717" spans="1:19" s="9" customFormat="1" x14ac:dyDescent="0.25">
      <c r="A717" s="10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</row>
    <row r="718" spans="1:19" s="9" customFormat="1" x14ac:dyDescent="0.25">
      <c r="A718" s="10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</row>
    <row r="719" spans="1:19" s="9" customFormat="1" x14ac:dyDescent="0.25">
      <c r="A719" s="10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</row>
    <row r="720" spans="1:19" s="9" customFormat="1" x14ac:dyDescent="0.25">
      <c r="A720" s="10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</row>
    <row r="721" spans="1:19" s="9" customFormat="1" x14ac:dyDescent="0.25">
      <c r="A721" s="10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</row>
    <row r="722" spans="1:19" s="9" customFormat="1" x14ac:dyDescent="0.25">
      <c r="A722" s="10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</row>
    <row r="723" spans="1:19" s="9" customFormat="1" x14ac:dyDescent="0.25">
      <c r="A723" s="10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</row>
    <row r="724" spans="1:19" s="9" customFormat="1" x14ac:dyDescent="0.25">
      <c r="A724" s="10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</row>
    <row r="725" spans="1:19" s="9" customFormat="1" x14ac:dyDescent="0.25">
      <c r="A725" s="10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</row>
    <row r="726" spans="1:19" s="9" customFormat="1" x14ac:dyDescent="0.25">
      <c r="A726" s="10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</row>
    <row r="727" spans="1:19" s="9" customFormat="1" x14ac:dyDescent="0.25">
      <c r="A727" s="10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</row>
    <row r="728" spans="1:19" s="9" customFormat="1" x14ac:dyDescent="0.25">
      <c r="A728" s="10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</row>
    <row r="729" spans="1:19" s="9" customFormat="1" x14ac:dyDescent="0.25">
      <c r="A729" s="10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</row>
    <row r="730" spans="1:19" s="9" customFormat="1" x14ac:dyDescent="0.25">
      <c r="A730" s="10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</row>
    <row r="731" spans="1:19" s="9" customFormat="1" x14ac:dyDescent="0.25">
      <c r="A731" s="10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</row>
    <row r="732" spans="1:19" s="9" customFormat="1" x14ac:dyDescent="0.25">
      <c r="A732" s="10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</row>
    <row r="733" spans="1:19" s="9" customFormat="1" x14ac:dyDescent="0.25">
      <c r="A733" s="10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</row>
    <row r="734" spans="1:19" s="9" customFormat="1" x14ac:dyDescent="0.25">
      <c r="A734" s="10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</row>
    <row r="735" spans="1:19" s="9" customFormat="1" x14ac:dyDescent="0.25">
      <c r="A735" s="10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</row>
    <row r="736" spans="1:19" s="9" customFormat="1" x14ac:dyDescent="0.25">
      <c r="A736" s="10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</row>
    <row r="737" spans="1:19" s="9" customFormat="1" x14ac:dyDescent="0.25">
      <c r="A737" s="10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</row>
    <row r="738" spans="1:19" s="9" customFormat="1" x14ac:dyDescent="0.25">
      <c r="A738" s="10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</row>
    <row r="739" spans="1:19" s="9" customFormat="1" x14ac:dyDescent="0.25">
      <c r="A739" s="10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</row>
    <row r="740" spans="1:19" s="9" customFormat="1" x14ac:dyDescent="0.25">
      <c r="A740" s="10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</row>
    <row r="741" spans="1:19" s="9" customFormat="1" x14ac:dyDescent="0.25">
      <c r="A741" s="10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</row>
    <row r="742" spans="1:19" s="9" customFormat="1" x14ac:dyDescent="0.25">
      <c r="A742" s="10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</row>
    <row r="743" spans="1:19" s="9" customFormat="1" x14ac:dyDescent="0.25">
      <c r="A743" s="10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</row>
    <row r="744" spans="1:19" s="9" customFormat="1" x14ac:dyDescent="0.25">
      <c r="A744" s="10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</row>
    <row r="745" spans="1:19" s="9" customFormat="1" x14ac:dyDescent="0.25">
      <c r="A745" s="10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</row>
    <row r="746" spans="1:19" s="9" customFormat="1" x14ac:dyDescent="0.25">
      <c r="A746" s="10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</row>
    <row r="747" spans="1:19" s="9" customFormat="1" x14ac:dyDescent="0.25">
      <c r="A747" s="10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</row>
    <row r="748" spans="1:19" s="9" customFormat="1" x14ac:dyDescent="0.25">
      <c r="A748" s="10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</row>
    <row r="749" spans="1:19" s="9" customFormat="1" x14ac:dyDescent="0.25">
      <c r="A749" s="10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</row>
    <row r="750" spans="1:19" s="9" customFormat="1" x14ac:dyDescent="0.25">
      <c r="A750" s="10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</row>
    <row r="751" spans="1:19" s="9" customFormat="1" x14ac:dyDescent="0.25">
      <c r="A751" s="10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</row>
    <row r="752" spans="1:19" s="9" customFormat="1" x14ac:dyDescent="0.25">
      <c r="A752" s="10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</row>
    <row r="753" spans="1:19" s="9" customFormat="1" x14ac:dyDescent="0.25">
      <c r="A753" s="10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</row>
    <row r="754" spans="1:19" s="9" customFormat="1" x14ac:dyDescent="0.25">
      <c r="A754" s="10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</row>
    <row r="755" spans="1:19" s="9" customFormat="1" x14ac:dyDescent="0.25">
      <c r="A755" s="10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</row>
    <row r="756" spans="1:19" s="9" customFormat="1" x14ac:dyDescent="0.25">
      <c r="A756" s="10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</row>
    <row r="757" spans="1:19" s="9" customFormat="1" x14ac:dyDescent="0.25">
      <c r="A757" s="10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</row>
    <row r="758" spans="1:19" s="9" customFormat="1" x14ac:dyDescent="0.25">
      <c r="A758" s="10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</row>
    <row r="759" spans="1:19" s="9" customFormat="1" x14ac:dyDescent="0.25">
      <c r="A759" s="10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</row>
    <row r="760" spans="1:19" s="9" customFormat="1" x14ac:dyDescent="0.25">
      <c r="A760" s="10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</row>
    <row r="761" spans="1:19" s="9" customFormat="1" x14ac:dyDescent="0.25">
      <c r="A761" s="10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</row>
    <row r="762" spans="1:19" s="9" customFormat="1" x14ac:dyDescent="0.25">
      <c r="A762" s="10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</row>
    <row r="763" spans="1:19" s="9" customFormat="1" x14ac:dyDescent="0.25">
      <c r="A763" s="10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</row>
    <row r="764" spans="1:19" s="9" customFormat="1" x14ac:dyDescent="0.25">
      <c r="A764" s="10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</row>
    <row r="765" spans="1:19" s="9" customFormat="1" x14ac:dyDescent="0.25">
      <c r="A765" s="10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</row>
    <row r="766" spans="1:19" s="9" customFormat="1" x14ac:dyDescent="0.25">
      <c r="A766" s="10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</row>
    <row r="767" spans="1:19" s="9" customFormat="1" x14ac:dyDescent="0.25">
      <c r="A767" s="10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</row>
    <row r="768" spans="1:19" s="9" customFormat="1" x14ac:dyDescent="0.25">
      <c r="A768" s="10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</row>
    <row r="769" spans="1:19" s="9" customFormat="1" x14ac:dyDescent="0.25">
      <c r="A769" s="10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</row>
    <row r="770" spans="1:19" s="9" customFormat="1" x14ac:dyDescent="0.25">
      <c r="A770" s="10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</row>
    <row r="771" spans="1:19" s="9" customFormat="1" x14ac:dyDescent="0.25">
      <c r="A771" s="10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</row>
    <row r="772" spans="1:19" s="9" customFormat="1" x14ac:dyDescent="0.25">
      <c r="A772" s="10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</row>
    <row r="773" spans="1:19" s="9" customFormat="1" x14ac:dyDescent="0.25">
      <c r="A773" s="10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</row>
    <row r="774" spans="1:19" s="9" customFormat="1" x14ac:dyDescent="0.25">
      <c r="A774" s="10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</row>
    <row r="775" spans="1:19" s="9" customFormat="1" x14ac:dyDescent="0.25">
      <c r="A775" s="10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</row>
    <row r="776" spans="1:19" s="9" customFormat="1" x14ac:dyDescent="0.25">
      <c r="A776" s="10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</row>
    <row r="777" spans="1:19" s="9" customFormat="1" x14ac:dyDescent="0.25">
      <c r="A777" s="10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</row>
    <row r="778" spans="1:19" s="9" customFormat="1" x14ac:dyDescent="0.25">
      <c r="A778" s="10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</row>
    <row r="779" spans="1:19" s="9" customFormat="1" x14ac:dyDescent="0.25">
      <c r="A779" s="10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</row>
    <row r="780" spans="1:19" s="9" customFormat="1" x14ac:dyDescent="0.25">
      <c r="A780" s="10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</row>
    <row r="781" spans="1:19" s="9" customFormat="1" x14ac:dyDescent="0.25">
      <c r="A781" s="10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</row>
    <row r="782" spans="1:19" s="9" customFormat="1" x14ac:dyDescent="0.25">
      <c r="A782" s="10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</row>
    <row r="783" spans="1:19" s="9" customFormat="1" x14ac:dyDescent="0.25">
      <c r="A783" s="10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</row>
    <row r="784" spans="1:19" s="9" customFormat="1" x14ac:dyDescent="0.25">
      <c r="A784" s="10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</row>
    <row r="785" spans="1:19" s="9" customFormat="1" x14ac:dyDescent="0.25">
      <c r="A785" s="10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</row>
    <row r="786" spans="1:19" s="9" customFormat="1" x14ac:dyDescent="0.25">
      <c r="A786" s="10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</row>
    <row r="787" spans="1:19" s="9" customFormat="1" x14ac:dyDescent="0.25">
      <c r="A787" s="10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</row>
    <row r="788" spans="1:19" s="9" customFormat="1" x14ac:dyDescent="0.25">
      <c r="A788" s="10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</row>
    <row r="789" spans="1:19" s="9" customFormat="1" x14ac:dyDescent="0.25">
      <c r="A789" s="10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</row>
    <row r="790" spans="1:19" s="9" customFormat="1" x14ac:dyDescent="0.25">
      <c r="A790" s="10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</row>
    <row r="791" spans="1:19" s="9" customFormat="1" x14ac:dyDescent="0.25">
      <c r="A791" s="10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</row>
    <row r="792" spans="1:19" s="9" customFormat="1" x14ac:dyDescent="0.25">
      <c r="A792" s="10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</row>
    <row r="793" spans="1:19" s="9" customFormat="1" x14ac:dyDescent="0.25">
      <c r="A793" s="10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</row>
    <row r="794" spans="1:19" s="9" customFormat="1" x14ac:dyDescent="0.25">
      <c r="A794" s="10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</row>
    <row r="795" spans="1:19" s="9" customFormat="1" x14ac:dyDescent="0.25">
      <c r="A795" s="10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</row>
    <row r="796" spans="1:19" s="9" customFormat="1" x14ac:dyDescent="0.25">
      <c r="A796" s="10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</row>
    <row r="797" spans="1:19" s="9" customFormat="1" x14ac:dyDescent="0.25">
      <c r="A797" s="10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</row>
    <row r="798" spans="1:19" s="9" customFormat="1" x14ac:dyDescent="0.25">
      <c r="A798" s="10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</row>
    <row r="799" spans="1:19" s="9" customFormat="1" x14ac:dyDescent="0.25">
      <c r="A799" s="10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</row>
    <row r="800" spans="1:19" s="9" customFormat="1" x14ac:dyDescent="0.25">
      <c r="A800" s="10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</row>
    <row r="801" spans="1:19" s="9" customFormat="1" x14ac:dyDescent="0.25">
      <c r="A801" s="10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</row>
    <row r="802" spans="1:19" s="9" customFormat="1" x14ac:dyDescent="0.25">
      <c r="A802" s="10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</row>
    <row r="803" spans="1:19" s="9" customFormat="1" x14ac:dyDescent="0.25">
      <c r="A803" s="10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</row>
    <row r="804" spans="1:19" s="9" customFormat="1" x14ac:dyDescent="0.25">
      <c r="A804" s="10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</row>
    <row r="805" spans="1:19" s="9" customFormat="1" x14ac:dyDescent="0.25">
      <c r="A805" s="10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</row>
    <row r="806" spans="1:19" s="9" customFormat="1" x14ac:dyDescent="0.25">
      <c r="A806" s="10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</row>
    <row r="807" spans="1:19" s="9" customFormat="1" x14ac:dyDescent="0.25">
      <c r="A807" s="10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</row>
    <row r="808" spans="1:19" s="9" customFormat="1" x14ac:dyDescent="0.25">
      <c r="A808" s="10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</row>
    <row r="809" spans="1:19" s="9" customFormat="1" x14ac:dyDescent="0.25">
      <c r="A809" s="10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</row>
    <row r="810" spans="1:19" s="9" customFormat="1" x14ac:dyDescent="0.25">
      <c r="A810" s="10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</row>
    <row r="811" spans="1:19" s="9" customFormat="1" x14ac:dyDescent="0.25">
      <c r="A811" s="10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</row>
    <row r="812" spans="1:19" s="9" customFormat="1" x14ac:dyDescent="0.25">
      <c r="A812" s="10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</row>
    <row r="813" spans="1:19" s="9" customFormat="1" x14ac:dyDescent="0.25">
      <c r="A813" s="10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</row>
    <row r="814" spans="1:19" s="9" customFormat="1" x14ac:dyDescent="0.25">
      <c r="A814" s="10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</row>
    <row r="815" spans="1:19" s="9" customFormat="1" x14ac:dyDescent="0.25">
      <c r="A815" s="10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</row>
    <row r="816" spans="1:19" s="9" customFormat="1" x14ac:dyDescent="0.25">
      <c r="A816" s="10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</row>
    <row r="817" spans="1:19" s="9" customFormat="1" x14ac:dyDescent="0.25">
      <c r="A817" s="10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</row>
    <row r="818" spans="1:19" s="9" customFormat="1" x14ac:dyDescent="0.25">
      <c r="A818" s="10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</row>
    <row r="819" spans="1:19" s="9" customFormat="1" x14ac:dyDescent="0.25">
      <c r="A819" s="10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</row>
    <row r="820" spans="1:19" s="9" customFormat="1" x14ac:dyDescent="0.25">
      <c r="A820" s="10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</row>
    <row r="821" spans="1:19" s="9" customFormat="1" x14ac:dyDescent="0.25">
      <c r="A821" s="10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</row>
    <row r="822" spans="1:19" s="9" customFormat="1" x14ac:dyDescent="0.25">
      <c r="A822" s="10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</row>
    <row r="823" spans="1:19" s="9" customFormat="1" x14ac:dyDescent="0.25">
      <c r="A823" s="10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</row>
    <row r="824" spans="1:19" s="9" customFormat="1" x14ac:dyDescent="0.25">
      <c r="A824" s="10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</row>
    <row r="825" spans="1:19" s="9" customFormat="1" x14ac:dyDescent="0.25">
      <c r="A825" s="10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</row>
    <row r="826" spans="1:19" s="9" customFormat="1" x14ac:dyDescent="0.25">
      <c r="A826" s="10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</row>
    <row r="827" spans="1:19" s="9" customFormat="1" x14ac:dyDescent="0.25">
      <c r="A827" s="10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</row>
    <row r="828" spans="1:19" s="9" customFormat="1" x14ac:dyDescent="0.25">
      <c r="A828" s="10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</row>
    <row r="829" spans="1:19" s="9" customFormat="1" x14ac:dyDescent="0.25">
      <c r="A829" s="10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</row>
    <row r="830" spans="1:19" s="9" customFormat="1" x14ac:dyDescent="0.25">
      <c r="A830" s="10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</row>
    <row r="831" spans="1:19" s="9" customFormat="1" x14ac:dyDescent="0.25">
      <c r="A831" s="10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</row>
    <row r="832" spans="1:19" s="9" customFormat="1" x14ac:dyDescent="0.25">
      <c r="A832" s="10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</row>
    <row r="833" spans="1:19" s="9" customFormat="1" x14ac:dyDescent="0.25">
      <c r="A833" s="10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</row>
    <row r="834" spans="1:19" s="9" customFormat="1" x14ac:dyDescent="0.25">
      <c r="A834" s="10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</row>
    <row r="835" spans="1:19" s="9" customFormat="1" x14ac:dyDescent="0.25">
      <c r="A835" s="10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</row>
    <row r="836" spans="1:19" s="9" customFormat="1" x14ac:dyDescent="0.25">
      <c r="A836" s="10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</row>
    <row r="837" spans="1:19" s="9" customFormat="1" x14ac:dyDescent="0.25">
      <c r="A837" s="10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</row>
    <row r="838" spans="1:19" s="9" customFormat="1" x14ac:dyDescent="0.25">
      <c r="A838" s="10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</row>
    <row r="839" spans="1:19" s="9" customFormat="1" x14ac:dyDescent="0.25">
      <c r="A839" s="10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</row>
    <row r="840" spans="1:19" s="9" customFormat="1" x14ac:dyDescent="0.25">
      <c r="A840" s="10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</row>
    <row r="841" spans="1:19" s="9" customFormat="1" x14ac:dyDescent="0.25">
      <c r="A841" s="10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</row>
    <row r="842" spans="1:19" s="9" customFormat="1" x14ac:dyDescent="0.25">
      <c r="A842" s="10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</row>
    <row r="843" spans="1:19" s="9" customFormat="1" x14ac:dyDescent="0.25">
      <c r="A843" s="10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</row>
    <row r="844" spans="1:19" s="9" customFormat="1" x14ac:dyDescent="0.25">
      <c r="A844" s="10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</row>
    <row r="845" spans="1:19" s="9" customFormat="1" x14ac:dyDescent="0.25">
      <c r="A845" s="10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</row>
    <row r="846" spans="1:19" s="9" customFormat="1" x14ac:dyDescent="0.25">
      <c r="A846" s="10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</row>
    <row r="847" spans="1:19" s="9" customFormat="1" x14ac:dyDescent="0.25">
      <c r="A847" s="10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</row>
    <row r="848" spans="1:19" s="9" customFormat="1" x14ac:dyDescent="0.25">
      <c r="A848" s="10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</row>
    <row r="849" spans="1:19" s="9" customFormat="1" x14ac:dyDescent="0.25">
      <c r="A849" s="10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</row>
    <row r="850" spans="1:19" s="9" customFormat="1" x14ac:dyDescent="0.25">
      <c r="A850" s="10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</row>
    <row r="851" spans="1:19" s="9" customFormat="1" x14ac:dyDescent="0.25">
      <c r="A851" s="10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</row>
    <row r="852" spans="1:19" s="9" customFormat="1" x14ac:dyDescent="0.25">
      <c r="A852" s="10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</row>
    <row r="853" spans="1:19" s="9" customFormat="1" x14ac:dyDescent="0.25">
      <c r="A853" s="10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</row>
    <row r="854" spans="1:19" s="9" customFormat="1" x14ac:dyDescent="0.25">
      <c r="A854" s="10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</row>
    <row r="855" spans="1:19" s="9" customFormat="1" x14ac:dyDescent="0.25">
      <c r="A855" s="10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</row>
    <row r="856" spans="1:19" s="9" customFormat="1" x14ac:dyDescent="0.25">
      <c r="A856" s="10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</row>
    <row r="857" spans="1:19" s="9" customFormat="1" x14ac:dyDescent="0.25">
      <c r="A857" s="10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</row>
    <row r="858" spans="1:19" s="9" customFormat="1" x14ac:dyDescent="0.25">
      <c r="A858" s="10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</row>
    <row r="859" spans="1:19" s="9" customFormat="1" x14ac:dyDescent="0.25">
      <c r="A859" s="10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</row>
    <row r="860" spans="1:19" s="9" customFormat="1" x14ac:dyDescent="0.25">
      <c r="A860" s="10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</row>
    <row r="861" spans="1:19" s="9" customFormat="1" x14ac:dyDescent="0.25">
      <c r="A861" s="10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</row>
    <row r="862" spans="1:19" s="9" customFormat="1" x14ac:dyDescent="0.25">
      <c r="A862" s="10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</row>
    <row r="863" spans="1:19" s="9" customFormat="1" x14ac:dyDescent="0.25">
      <c r="A863" s="10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</row>
    <row r="864" spans="1:19" s="9" customFormat="1" x14ac:dyDescent="0.25">
      <c r="A864" s="10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</row>
    <row r="865" spans="1:19" s="9" customFormat="1" x14ac:dyDescent="0.25">
      <c r="A865" s="10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</row>
    <row r="866" spans="1:19" s="9" customFormat="1" x14ac:dyDescent="0.25">
      <c r="A866" s="10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</row>
    <row r="867" spans="1:19" s="9" customFormat="1" x14ac:dyDescent="0.25">
      <c r="A867" s="10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</row>
    <row r="868" spans="1:19" s="9" customFormat="1" x14ac:dyDescent="0.25">
      <c r="A868" s="10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</row>
    <row r="869" spans="1:19" s="9" customFormat="1" x14ac:dyDescent="0.25">
      <c r="A869" s="10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</row>
    <row r="870" spans="1:19" s="9" customFormat="1" x14ac:dyDescent="0.25">
      <c r="A870" s="10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</row>
    <row r="871" spans="1:19" s="9" customFormat="1" x14ac:dyDescent="0.25">
      <c r="A871" s="10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</row>
    <row r="872" spans="1:19" s="9" customFormat="1" x14ac:dyDescent="0.25">
      <c r="A872" s="10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</row>
    <row r="873" spans="1:19" s="9" customFormat="1" x14ac:dyDescent="0.25">
      <c r="A873" s="10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</row>
    <row r="874" spans="1:19" s="9" customFormat="1" x14ac:dyDescent="0.25">
      <c r="A874" s="10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</row>
    <row r="875" spans="1:19" s="9" customFormat="1" x14ac:dyDescent="0.25">
      <c r="A875" s="10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</row>
    <row r="876" spans="1:19" s="9" customFormat="1" x14ac:dyDescent="0.25">
      <c r="A876" s="10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</row>
    <row r="877" spans="1:19" s="9" customFormat="1" x14ac:dyDescent="0.25">
      <c r="A877" s="10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</row>
    <row r="878" spans="1:19" s="9" customFormat="1" x14ac:dyDescent="0.25">
      <c r="A878" s="10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</row>
    <row r="879" spans="1:19" s="9" customFormat="1" x14ac:dyDescent="0.25">
      <c r="A879" s="10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</row>
    <row r="880" spans="1:19" s="9" customFormat="1" x14ac:dyDescent="0.25">
      <c r="A880" s="10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</row>
    <row r="881" spans="1:19" s="9" customFormat="1" x14ac:dyDescent="0.25">
      <c r="A881" s="10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</row>
    <row r="882" spans="1:19" s="9" customFormat="1" x14ac:dyDescent="0.25">
      <c r="A882" s="10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</row>
    <row r="883" spans="1:19" s="9" customFormat="1" x14ac:dyDescent="0.25">
      <c r="A883" s="10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</row>
    <row r="884" spans="1:19" s="9" customFormat="1" x14ac:dyDescent="0.25">
      <c r="A884" s="10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</row>
    <row r="885" spans="1:19" s="9" customFormat="1" x14ac:dyDescent="0.25">
      <c r="A885" s="10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</row>
    <row r="886" spans="1:19" s="9" customFormat="1" x14ac:dyDescent="0.25">
      <c r="A886" s="10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</row>
    <row r="887" spans="1:19" s="9" customFormat="1" x14ac:dyDescent="0.25">
      <c r="A887" s="10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</row>
    <row r="888" spans="1:19" s="9" customFormat="1" x14ac:dyDescent="0.25">
      <c r="A888" s="10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</row>
    <row r="889" spans="1:19" s="9" customFormat="1" x14ac:dyDescent="0.25">
      <c r="A889" s="10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</row>
    <row r="890" spans="1:19" s="9" customFormat="1" x14ac:dyDescent="0.25">
      <c r="A890" s="10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</row>
    <row r="891" spans="1:19" s="9" customFormat="1" x14ac:dyDescent="0.25">
      <c r="A891" s="10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</row>
    <row r="892" spans="1:19" s="9" customFormat="1" x14ac:dyDescent="0.25">
      <c r="A892" s="10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</row>
    <row r="893" spans="1:19" s="9" customFormat="1" x14ac:dyDescent="0.25">
      <c r="A893" s="10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</row>
    <row r="894" spans="1:19" s="9" customFormat="1" x14ac:dyDescent="0.25">
      <c r="A894" s="10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</row>
    <row r="895" spans="1:19" s="9" customFormat="1" x14ac:dyDescent="0.25">
      <c r="A895" s="10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</row>
    <row r="896" spans="1:19" s="9" customFormat="1" x14ac:dyDescent="0.25">
      <c r="A896" s="10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</row>
    <row r="897" spans="1:19" s="9" customFormat="1" x14ac:dyDescent="0.25">
      <c r="A897" s="10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</row>
    <row r="898" spans="1:19" s="9" customFormat="1" x14ac:dyDescent="0.25">
      <c r="A898" s="10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</row>
    <row r="899" spans="1:19" s="9" customFormat="1" x14ac:dyDescent="0.25">
      <c r="A899" s="10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</row>
    <row r="900" spans="1:19" s="9" customFormat="1" x14ac:dyDescent="0.25">
      <c r="A900" s="10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</row>
    <row r="901" spans="1:19" s="9" customFormat="1" x14ac:dyDescent="0.25">
      <c r="A901" s="10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</row>
    <row r="902" spans="1:19" s="9" customFormat="1" x14ac:dyDescent="0.25">
      <c r="A902" s="10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</row>
    <row r="903" spans="1:19" s="9" customFormat="1" x14ac:dyDescent="0.25">
      <c r="A903" s="10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</row>
    <row r="904" spans="1:19" s="9" customFormat="1" x14ac:dyDescent="0.25">
      <c r="A904" s="10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</row>
    <row r="905" spans="1:19" s="9" customFormat="1" x14ac:dyDescent="0.25">
      <c r="A905" s="10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</row>
    <row r="906" spans="1:19" s="9" customFormat="1" x14ac:dyDescent="0.25">
      <c r="A906" s="10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</row>
    <row r="907" spans="1:19" s="9" customFormat="1" x14ac:dyDescent="0.25">
      <c r="A907" s="10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</row>
    <row r="908" spans="1:19" s="9" customFormat="1" x14ac:dyDescent="0.25">
      <c r="A908" s="10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</row>
    <row r="909" spans="1:19" s="9" customFormat="1" x14ac:dyDescent="0.25">
      <c r="A909" s="10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</row>
    <row r="910" spans="1:19" s="9" customFormat="1" x14ac:dyDescent="0.25">
      <c r="A910" s="10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</row>
    <row r="911" spans="1:19" s="9" customFormat="1" x14ac:dyDescent="0.25">
      <c r="A911" s="10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</row>
    <row r="912" spans="1:19" s="9" customFormat="1" x14ac:dyDescent="0.25">
      <c r="A912" s="10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</row>
    <row r="913" spans="1:19" s="9" customFormat="1" x14ac:dyDescent="0.25">
      <c r="A913" s="10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</row>
    <row r="914" spans="1:19" s="9" customFormat="1" x14ac:dyDescent="0.25">
      <c r="A914" s="10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</row>
    <row r="915" spans="1:19" s="9" customFormat="1" x14ac:dyDescent="0.25">
      <c r="A915" s="10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</row>
    <row r="916" spans="1:19" s="9" customFormat="1" x14ac:dyDescent="0.25">
      <c r="A916" s="10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</row>
    <row r="917" spans="1:19" s="9" customFormat="1" x14ac:dyDescent="0.25">
      <c r="A917" s="10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</row>
    <row r="918" spans="1:19" s="9" customFormat="1" x14ac:dyDescent="0.25">
      <c r="A918" s="10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</row>
    <row r="919" spans="1:19" s="9" customFormat="1" x14ac:dyDescent="0.25">
      <c r="A919" s="10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</row>
    <row r="920" spans="1:19" s="9" customFormat="1" x14ac:dyDescent="0.25">
      <c r="A920" s="10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</row>
    <row r="921" spans="1:19" s="9" customFormat="1" x14ac:dyDescent="0.25">
      <c r="A921" s="10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</row>
    <row r="922" spans="1:19" s="9" customFormat="1" x14ac:dyDescent="0.25">
      <c r="A922" s="10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</row>
    <row r="923" spans="1:19" s="9" customFormat="1" x14ac:dyDescent="0.25">
      <c r="A923" s="10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</row>
    <row r="924" spans="1:19" s="9" customFormat="1" x14ac:dyDescent="0.25">
      <c r="A924" s="10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</row>
    <row r="925" spans="1:19" s="9" customFormat="1" x14ac:dyDescent="0.25">
      <c r="A925" s="10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</row>
    <row r="926" spans="1:19" s="9" customFormat="1" x14ac:dyDescent="0.25">
      <c r="A926" s="10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</row>
    <row r="927" spans="1:19" s="9" customFormat="1" x14ac:dyDescent="0.25">
      <c r="A927" s="10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</row>
    <row r="928" spans="1:19" s="9" customFormat="1" x14ac:dyDescent="0.25">
      <c r="A928" s="10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</row>
    <row r="929" spans="1:19" s="9" customFormat="1" x14ac:dyDescent="0.25">
      <c r="A929" s="10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</row>
    <row r="930" spans="1:19" s="9" customFormat="1" x14ac:dyDescent="0.25">
      <c r="A930" s="10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</row>
    <row r="931" spans="1:19" s="9" customFormat="1" x14ac:dyDescent="0.25">
      <c r="A931" s="10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</row>
    <row r="932" spans="1:19" s="9" customFormat="1" x14ac:dyDescent="0.25">
      <c r="A932" s="10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</row>
    <row r="933" spans="1:19" s="9" customFormat="1" x14ac:dyDescent="0.25">
      <c r="A933" s="10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</row>
    <row r="934" spans="1:19" s="9" customFormat="1" x14ac:dyDescent="0.25">
      <c r="A934" s="10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</row>
    <row r="935" spans="1:19" s="9" customFormat="1" x14ac:dyDescent="0.25">
      <c r="A935" s="10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</row>
    <row r="936" spans="1:19" s="9" customFormat="1" x14ac:dyDescent="0.25">
      <c r="A936" s="10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</row>
    <row r="937" spans="1:19" s="9" customFormat="1" x14ac:dyDescent="0.25">
      <c r="A937" s="10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</row>
    <row r="938" spans="1:19" s="9" customFormat="1" x14ac:dyDescent="0.25">
      <c r="A938" s="10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</row>
    <row r="939" spans="1:19" s="9" customFormat="1" x14ac:dyDescent="0.25">
      <c r="A939" s="10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</row>
    <row r="940" spans="1:19" s="9" customFormat="1" x14ac:dyDescent="0.25">
      <c r="A940" s="10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</row>
    <row r="941" spans="1:19" s="9" customFormat="1" x14ac:dyDescent="0.25">
      <c r="A941" s="10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</row>
    <row r="942" spans="1:19" s="9" customFormat="1" x14ac:dyDescent="0.25">
      <c r="A942" s="10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</row>
    <row r="943" spans="1:19" s="9" customFormat="1" x14ac:dyDescent="0.25">
      <c r="A943" s="10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</row>
    <row r="944" spans="1:19" s="9" customFormat="1" x14ac:dyDescent="0.25">
      <c r="A944" s="10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</row>
    <row r="945" spans="1:19" s="9" customFormat="1" x14ac:dyDescent="0.25">
      <c r="A945" s="10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</row>
    <row r="946" spans="1:19" s="9" customFormat="1" x14ac:dyDescent="0.25">
      <c r="A946" s="10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</row>
    <row r="947" spans="1:19" s="9" customFormat="1" x14ac:dyDescent="0.25">
      <c r="A947" s="10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</row>
    <row r="948" spans="1:19" s="9" customFormat="1" x14ac:dyDescent="0.25">
      <c r="A948" s="10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</row>
    <row r="949" spans="1:19" s="9" customFormat="1" x14ac:dyDescent="0.25">
      <c r="A949" s="10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</row>
    <row r="950" spans="1:19" s="9" customFormat="1" x14ac:dyDescent="0.25">
      <c r="A950" s="10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</row>
    <row r="951" spans="1:19" s="9" customFormat="1" x14ac:dyDescent="0.25">
      <c r="A951" s="10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</row>
    <row r="952" spans="1:19" s="9" customFormat="1" x14ac:dyDescent="0.25">
      <c r="A952" s="10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</row>
    <row r="953" spans="1:19" s="9" customFormat="1" x14ac:dyDescent="0.25">
      <c r="A953" s="10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</row>
    <row r="954" spans="1:19" s="9" customFormat="1" x14ac:dyDescent="0.25">
      <c r="A954" s="10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</row>
    <row r="955" spans="1:19" s="9" customFormat="1" x14ac:dyDescent="0.25">
      <c r="A955" s="10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</row>
    <row r="956" spans="1:19" s="9" customFormat="1" x14ac:dyDescent="0.25">
      <c r="A956" s="10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</row>
    <row r="957" spans="1:19" s="9" customFormat="1" x14ac:dyDescent="0.25">
      <c r="A957" s="10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</row>
    <row r="958" spans="1:19" s="9" customFormat="1" x14ac:dyDescent="0.25">
      <c r="A958" s="10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</row>
    <row r="959" spans="1:19" s="9" customFormat="1" x14ac:dyDescent="0.25">
      <c r="A959" s="10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</row>
    <row r="960" spans="1:19" s="9" customFormat="1" x14ac:dyDescent="0.25">
      <c r="A960" s="10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</row>
    <row r="961" spans="1:19" s="9" customFormat="1" x14ac:dyDescent="0.25">
      <c r="A961" s="10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</row>
    <row r="962" spans="1:19" s="9" customFormat="1" x14ac:dyDescent="0.25">
      <c r="A962" s="10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</row>
    <row r="963" spans="1:19" s="9" customFormat="1" x14ac:dyDescent="0.25">
      <c r="A963" s="10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</row>
    <row r="964" spans="1:19" s="9" customFormat="1" x14ac:dyDescent="0.25">
      <c r="A964" s="10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</row>
    <row r="965" spans="1:19" s="9" customFormat="1" x14ac:dyDescent="0.25">
      <c r="A965" s="10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</row>
    <row r="966" spans="1:19" s="9" customFormat="1" x14ac:dyDescent="0.25">
      <c r="A966" s="10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</row>
    <row r="967" spans="1:19" s="9" customFormat="1" x14ac:dyDescent="0.25">
      <c r="A967" s="10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</row>
    <row r="968" spans="1:19" s="9" customFormat="1" x14ac:dyDescent="0.25">
      <c r="A968" s="10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</row>
    <row r="969" spans="1:19" s="9" customFormat="1" x14ac:dyDescent="0.25">
      <c r="A969" s="10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</row>
    <row r="970" spans="1:19" s="9" customFormat="1" x14ac:dyDescent="0.25">
      <c r="A970" s="10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</row>
    <row r="971" spans="1:19" s="9" customFormat="1" x14ac:dyDescent="0.25">
      <c r="A971" s="10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</row>
    <row r="972" spans="1:19" s="9" customFormat="1" x14ac:dyDescent="0.25">
      <c r="A972" s="10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</row>
    <row r="973" spans="1:19" s="9" customFormat="1" x14ac:dyDescent="0.25">
      <c r="A973" s="10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</row>
    <row r="974" spans="1:19" s="9" customFormat="1" x14ac:dyDescent="0.25">
      <c r="A974" s="10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</row>
    <row r="975" spans="1:19" s="9" customFormat="1" x14ac:dyDescent="0.25">
      <c r="A975" s="10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</row>
    <row r="976" spans="1:19" s="9" customFormat="1" x14ac:dyDescent="0.25">
      <c r="A976" s="10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</row>
    <row r="977" spans="1:19" s="9" customFormat="1" x14ac:dyDescent="0.25">
      <c r="A977" s="10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</row>
    <row r="978" spans="1:19" s="9" customFormat="1" x14ac:dyDescent="0.25">
      <c r="A978" s="10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</row>
    <row r="979" spans="1:19" s="9" customFormat="1" x14ac:dyDescent="0.25">
      <c r="A979" s="10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</row>
    <row r="980" spans="1:19" s="9" customFormat="1" x14ac:dyDescent="0.25">
      <c r="A980" s="10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</row>
    <row r="981" spans="1:19" s="9" customFormat="1" x14ac:dyDescent="0.25">
      <c r="A981" s="10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</row>
    <row r="982" spans="1:19" s="9" customFormat="1" x14ac:dyDescent="0.25">
      <c r="A982" s="10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</row>
    <row r="983" spans="1:19" s="9" customFormat="1" x14ac:dyDescent="0.25">
      <c r="A983" s="10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</row>
    <row r="984" spans="1:19" s="9" customFormat="1" x14ac:dyDescent="0.25">
      <c r="A984" s="10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</row>
    <row r="985" spans="1:19" s="9" customFormat="1" x14ac:dyDescent="0.25">
      <c r="A985" s="10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</row>
    <row r="986" spans="1:19" s="9" customFormat="1" x14ac:dyDescent="0.25">
      <c r="A986" s="10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</row>
    <row r="987" spans="1:19" s="9" customFormat="1" x14ac:dyDescent="0.25">
      <c r="A987" s="10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</row>
    <row r="988" spans="1:19" s="9" customFormat="1" x14ac:dyDescent="0.25">
      <c r="A988" s="10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</row>
    <row r="989" spans="1:19" s="9" customFormat="1" x14ac:dyDescent="0.25">
      <c r="A989" s="10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</row>
    <row r="990" spans="1:19" s="9" customFormat="1" x14ac:dyDescent="0.25">
      <c r="A990" s="10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</row>
    <row r="991" spans="1:19" s="9" customFormat="1" x14ac:dyDescent="0.25">
      <c r="A991" s="10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</row>
    <row r="992" spans="1:19" s="9" customFormat="1" x14ac:dyDescent="0.25">
      <c r="A992" s="10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</row>
    <row r="993" spans="1:19" s="9" customFormat="1" x14ac:dyDescent="0.25">
      <c r="A993" s="10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</row>
    <row r="994" spans="1:19" s="9" customFormat="1" x14ac:dyDescent="0.25">
      <c r="A994" s="10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</row>
    <row r="995" spans="1:19" s="9" customFormat="1" x14ac:dyDescent="0.25">
      <c r="A995" s="10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</row>
    <row r="996" spans="1:19" s="9" customFormat="1" x14ac:dyDescent="0.25">
      <c r="A996" s="10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</row>
    <row r="997" spans="1:19" s="9" customFormat="1" x14ac:dyDescent="0.25">
      <c r="A997" s="10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</row>
    <row r="998" spans="1:19" s="9" customFormat="1" x14ac:dyDescent="0.25">
      <c r="A998" s="10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</row>
    <row r="999" spans="1:19" s="9" customFormat="1" x14ac:dyDescent="0.25">
      <c r="A999" s="10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</row>
    <row r="1000" spans="1:19" s="9" customFormat="1" x14ac:dyDescent="0.25">
      <c r="A1000" s="10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</row>
    <row r="1001" spans="1:19" s="9" customFormat="1" x14ac:dyDescent="0.25">
      <c r="A1001" s="10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</row>
    <row r="1002" spans="1:19" s="9" customFormat="1" x14ac:dyDescent="0.25">
      <c r="A1002" s="10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</row>
    <row r="1003" spans="1:19" s="9" customFormat="1" x14ac:dyDescent="0.25">
      <c r="A1003" s="10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</row>
    <row r="1004" spans="1:19" s="9" customFormat="1" x14ac:dyDescent="0.25">
      <c r="A1004" s="10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</row>
    <row r="1005" spans="1:19" s="9" customFormat="1" x14ac:dyDescent="0.25">
      <c r="A1005" s="10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</row>
    <row r="1006" spans="1:19" s="9" customFormat="1" x14ac:dyDescent="0.25">
      <c r="A1006" s="10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</row>
    <row r="1007" spans="1:19" s="9" customFormat="1" x14ac:dyDescent="0.25">
      <c r="A1007" s="10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</row>
    <row r="1008" spans="1:19" s="9" customFormat="1" x14ac:dyDescent="0.25">
      <c r="A1008" s="10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</row>
    <row r="1009" spans="1:19" s="9" customFormat="1" x14ac:dyDescent="0.25">
      <c r="A1009" s="10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</row>
    <row r="1010" spans="1:19" s="9" customFormat="1" x14ac:dyDescent="0.25">
      <c r="A1010" s="10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</row>
    <row r="1011" spans="1:19" s="9" customFormat="1" x14ac:dyDescent="0.25">
      <c r="A1011" s="10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</row>
    <row r="1012" spans="1:19" s="9" customFormat="1" x14ac:dyDescent="0.25">
      <c r="A1012" s="10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</row>
    <row r="1013" spans="1:19" s="9" customFormat="1" x14ac:dyDescent="0.25">
      <c r="A1013" s="10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</row>
    <row r="1014" spans="1:19" s="9" customFormat="1" x14ac:dyDescent="0.25">
      <c r="A1014" s="10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</row>
    <row r="1015" spans="1:19" s="9" customFormat="1" x14ac:dyDescent="0.25">
      <c r="A1015" s="10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</row>
    <row r="1016" spans="1:19" s="9" customFormat="1" x14ac:dyDescent="0.25">
      <c r="A1016" s="10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</row>
    <row r="1017" spans="1:19" s="9" customFormat="1" x14ac:dyDescent="0.25">
      <c r="A1017" s="10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</row>
    <row r="1018" spans="1:19" s="9" customFormat="1" x14ac:dyDescent="0.25">
      <c r="A1018" s="10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</row>
    <row r="1019" spans="1:19" s="9" customFormat="1" x14ac:dyDescent="0.25">
      <c r="A1019" s="10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</row>
    <row r="1020" spans="1:19" s="9" customFormat="1" x14ac:dyDescent="0.25">
      <c r="A1020" s="10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</row>
    <row r="1021" spans="1:19" s="9" customFormat="1" x14ac:dyDescent="0.25">
      <c r="A1021" s="10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</row>
    <row r="1022" spans="1:19" s="9" customFormat="1" x14ac:dyDescent="0.25">
      <c r="A1022" s="10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</row>
    <row r="1023" spans="1:19" s="9" customFormat="1" x14ac:dyDescent="0.25">
      <c r="A1023" s="10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</row>
    <row r="1024" spans="1:19" s="9" customFormat="1" x14ac:dyDescent="0.25">
      <c r="A1024" s="10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</row>
    <row r="1025" spans="1:19" s="9" customFormat="1" x14ac:dyDescent="0.25">
      <c r="A1025" s="10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</row>
    <row r="1026" spans="1:19" s="9" customFormat="1" x14ac:dyDescent="0.25">
      <c r="A1026" s="10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</row>
    <row r="1027" spans="1:19" s="9" customFormat="1" x14ac:dyDescent="0.25">
      <c r="A1027" s="10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</row>
    <row r="1028" spans="1:19" s="9" customFormat="1" x14ac:dyDescent="0.25">
      <c r="A1028" s="10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</row>
    <row r="1029" spans="1:19" s="9" customFormat="1" x14ac:dyDescent="0.25">
      <c r="A1029" s="10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</row>
    <row r="1030" spans="1:19" s="9" customFormat="1" x14ac:dyDescent="0.25">
      <c r="A1030" s="10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</row>
    <row r="1031" spans="1:19" s="9" customFormat="1" x14ac:dyDescent="0.25">
      <c r="A1031" s="10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</row>
    <row r="1032" spans="1:19" s="9" customFormat="1" x14ac:dyDescent="0.25">
      <c r="A1032" s="10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</row>
    <row r="1033" spans="1:19" s="9" customFormat="1" x14ac:dyDescent="0.25">
      <c r="A1033" s="10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</row>
    <row r="1034" spans="1:19" s="9" customFormat="1" x14ac:dyDescent="0.25">
      <c r="A1034" s="10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</row>
    <row r="1035" spans="1:19" s="9" customFormat="1" x14ac:dyDescent="0.25">
      <c r="A1035" s="10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</row>
    <row r="1036" spans="1:19" s="9" customFormat="1" x14ac:dyDescent="0.25">
      <c r="A1036" s="10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</row>
    <row r="1037" spans="1:19" s="9" customFormat="1" x14ac:dyDescent="0.25">
      <c r="A1037" s="10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</row>
    <row r="1038" spans="1:19" s="9" customFormat="1" x14ac:dyDescent="0.25">
      <c r="A1038" s="10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</row>
    <row r="1039" spans="1:19" s="9" customFormat="1" x14ac:dyDescent="0.25">
      <c r="A1039" s="10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</row>
    <row r="1040" spans="1:19" s="9" customFormat="1" x14ac:dyDescent="0.25">
      <c r="A1040" s="10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</row>
    <row r="1041" spans="1:19" s="9" customFormat="1" x14ac:dyDescent="0.25">
      <c r="A1041" s="10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</row>
    <row r="1042" spans="1:19" s="9" customFormat="1" x14ac:dyDescent="0.25">
      <c r="A1042" s="10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</row>
    <row r="1043" spans="1:19" s="9" customFormat="1" x14ac:dyDescent="0.25">
      <c r="A1043" s="10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</row>
    <row r="1044" spans="1:19" s="9" customFormat="1" x14ac:dyDescent="0.25">
      <c r="A1044" s="10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</row>
    <row r="1045" spans="1:19" s="9" customFormat="1" x14ac:dyDescent="0.25">
      <c r="A1045" s="10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</row>
    <row r="1046" spans="1:19" s="9" customFormat="1" x14ac:dyDescent="0.25">
      <c r="A1046" s="10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</row>
    <row r="1047" spans="1:19" s="9" customFormat="1" x14ac:dyDescent="0.25">
      <c r="A1047" s="10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</row>
    <row r="1048" spans="1:19" s="9" customFormat="1" x14ac:dyDescent="0.25">
      <c r="A1048" s="10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</row>
    <row r="1049" spans="1:19" s="9" customFormat="1" x14ac:dyDescent="0.25">
      <c r="A1049" s="10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</row>
    <row r="1050" spans="1:19" s="9" customFormat="1" x14ac:dyDescent="0.25">
      <c r="A1050" s="10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</row>
    <row r="1051" spans="1:19" s="9" customFormat="1" x14ac:dyDescent="0.25">
      <c r="A1051" s="10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</row>
    <row r="1052" spans="1:19" s="9" customFormat="1" x14ac:dyDescent="0.25">
      <c r="A1052" s="10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</row>
    <row r="1053" spans="1:19" s="9" customFormat="1" x14ac:dyDescent="0.25">
      <c r="A1053" s="10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</row>
    <row r="1054" spans="1:19" s="9" customFormat="1" x14ac:dyDescent="0.25">
      <c r="A1054" s="10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</row>
    <row r="1055" spans="1:19" s="9" customFormat="1" x14ac:dyDescent="0.25">
      <c r="A1055" s="10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</row>
    <row r="1056" spans="1:19" s="9" customFormat="1" x14ac:dyDescent="0.25">
      <c r="A1056" s="10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</row>
    <row r="1057" spans="1:19" s="9" customFormat="1" x14ac:dyDescent="0.25">
      <c r="A1057" s="10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</row>
    <row r="1058" spans="1:19" s="9" customFormat="1" x14ac:dyDescent="0.25">
      <c r="A1058" s="10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</row>
    <row r="1059" spans="1:19" s="9" customFormat="1" x14ac:dyDescent="0.25">
      <c r="A1059" s="10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</row>
    <row r="1060" spans="1:19" s="9" customFormat="1" x14ac:dyDescent="0.25">
      <c r="A1060" s="10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</row>
    <row r="1061" spans="1:19" s="9" customFormat="1" x14ac:dyDescent="0.25">
      <c r="A1061" s="10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</row>
    <row r="1062" spans="1:19" s="9" customFormat="1" x14ac:dyDescent="0.25">
      <c r="A1062" s="10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</row>
    <row r="1063" spans="1:19" s="9" customFormat="1" x14ac:dyDescent="0.25">
      <c r="A1063" s="10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</row>
    <row r="1064" spans="1:19" s="9" customFormat="1" x14ac:dyDescent="0.25">
      <c r="A1064" s="10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</row>
    <row r="1065" spans="1:19" s="9" customFormat="1" x14ac:dyDescent="0.25">
      <c r="A1065" s="10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</row>
    <row r="1066" spans="1:19" s="9" customFormat="1" x14ac:dyDescent="0.25">
      <c r="A1066" s="10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</row>
    <row r="1067" spans="1:19" s="9" customFormat="1" x14ac:dyDescent="0.25">
      <c r="A1067" s="10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</row>
    <row r="1068" spans="1:19" s="9" customFormat="1" x14ac:dyDescent="0.25">
      <c r="A1068" s="10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</row>
    <row r="1069" spans="1:19" s="9" customFormat="1" x14ac:dyDescent="0.25">
      <c r="A1069" s="10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</row>
    <row r="1070" spans="1:19" s="9" customFormat="1" x14ac:dyDescent="0.25">
      <c r="A1070" s="10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</row>
    <row r="1071" spans="1:19" s="9" customFormat="1" x14ac:dyDescent="0.25">
      <c r="A1071" s="10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</row>
    <row r="1072" spans="1:19" s="9" customFormat="1" x14ac:dyDescent="0.25">
      <c r="A1072" s="10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</row>
    <row r="1073" spans="1:19" s="9" customFormat="1" x14ac:dyDescent="0.25">
      <c r="A1073" s="10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</row>
    <row r="1074" spans="1:19" s="9" customFormat="1" x14ac:dyDescent="0.25">
      <c r="A1074" s="10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</row>
    <row r="1075" spans="1:19" s="9" customFormat="1" x14ac:dyDescent="0.25">
      <c r="A1075" s="10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</row>
    <row r="1076" spans="1:19" s="9" customFormat="1" x14ac:dyDescent="0.25">
      <c r="A1076" s="10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</row>
    <row r="1077" spans="1:19" s="9" customFormat="1" x14ac:dyDescent="0.25">
      <c r="A1077" s="10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</row>
    <row r="1078" spans="1:19" s="9" customFormat="1" x14ac:dyDescent="0.25">
      <c r="A1078" s="10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</row>
    <row r="1079" spans="1:19" s="9" customFormat="1" x14ac:dyDescent="0.25">
      <c r="A1079" s="10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</row>
    <row r="1080" spans="1:19" s="9" customFormat="1" x14ac:dyDescent="0.25">
      <c r="A1080" s="10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</row>
    <row r="1081" spans="1:19" s="9" customFormat="1" x14ac:dyDescent="0.25">
      <c r="A1081" s="10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</row>
    <row r="1082" spans="1:19" s="9" customFormat="1" x14ac:dyDescent="0.25">
      <c r="A1082" s="10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</row>
    <row r="1083" spans="1:19" s="9" customFormat="1" x14ac:dyDescent="0.25">
      <c r="A1083" s="10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</row>
    <row r="1084" spans="1:19" s="9" customFormat="1" x14ac:dyDescent="0.25">
      <c r="A1084" s="10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</row>
    <row r="1085" spans="1:19" s="9" customFormat="1" x14ac:dyDescent="0.25">
      <c r="A1085" s="10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</row>
    <row r="1086" spans="1:19" s="9" customFormat="1" x14ac:dyDescent="0.25">
      <c r="A1086" s="10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</row>
    <row r="1087" spans="1:19" s="9" customFormat="1" x14ac:dyDescent="0.25">
      <c r="A1087" s="10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</row>
    <row r="1088" spans="1:19" s="9" customFormat="1" x14ac:dyDescent="0.25">
      <c r="A1088" s="10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</row>
    <row r="1089" spans="1:19" s="9" customFormat="1" x14ac:dyDescent="0.25">
      <c r="A1089" s="10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</row>
    <row r="1090" spans="1:19" s="9" customFormat="1" x14ac:dyDescent="0.25">
      <c r="A1090" s="10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</row>
    <row r="1091" spans="1:19" s="9" customFormat="1" x14ac:dyDescent="0.25">
      <c r="A1091" s="10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</row>
    <row r="1092" spans="1:19" s="9" customFormat="1" x14ac:dyDescent="0.25">
      <c r="A1092" s="10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</row>
    <row r="1093" spans="1:19" s="9" customFormat="1" x14ac:dyDescent="0.25">
      <c r="A1093" s="10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</row>
    <row r="1094" spans="1:19" s="9" customFormat="1" x14ac:dyDescent="0.25">
      <c r="A1094" s="10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</row>
    <row r="1095" spans="1:19" s="9" customFormat="1" x14ac:dyDescent="0.25">
      <c r="A1095" s="10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</row>
    <row r="1096" spans="1:19" s="9" customFormat="1" x14ac:dyDescent="0.25">
      <c r="A1096" s="10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</row>
    <row r="1097" spans="1:19" s="9" customFormat="1" x14ac:dyDescent="0.25">
      <c r="A1097" s="10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</row>
    <row r="1098" spans="1:19" s="9" customFormat="1" x14ac:dyDescent="0.25">
      <c r="A1098" s="10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</row>
    <row r="1099" spans="1:19" s="9" customFormat="1" x14ac:dyDescent="0.25">
      <c r="A1099" s="10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</row>
    <row r="1100" spans="1:19" s="9" customFormat="1" x14ac:dyDescent="0.25">
      <c r="A1100" s="10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</row>
    <row r="1101" spans="1:19" s="9" customFormat="1" x14ac:dyDescent="0.25">
      <c r="A1101" s="10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</row>
    <row r="1102" spans="1:19" s="9" customFormat="1" x14ac:dyDescent="0.25">
      <c r="A1102" s="10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</row>
    <row r="1103" spans="1:19" s="9" customFormat="1" x14ac:dyDescent="0.25">
      <c r="A1103" s="10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</row>
    <row r="1104" spans="1:19" s="9" customFormat="1" x14ac:dyDescent="0.25">
      <c r="A1104" s="10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</row>
    <row r="1105" spans="1:19" s="9" customFormat="1" x14ac:dyDescent="0.25">
      <c r="A1105" s="10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</row>
    <row r="1106" spans="1:19" s="9" customFormat="1" x14ac:dyDescent="0.25">
      <c r="A1106" s="10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</row>
    <row r="1107" spans="1:19" s="9" customFormat="1" x14ac:dyDescent="0.25">
      <c r="A1107" s="10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</row>
    <row r="1108" spans="1:19" s="9" customFormat="1" x14ac:dyDescent="0.25">
      <c r="A1108" s="10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</row>
    <row r="1109" spans="1:19" s="9" customFormat="1" x14ac:dyDescent="0.25">
      <c r="A1109" s="10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</row>
    <row r="1110" spans="1:19" s="9" customFormat="1" x14ac:dyDescent="0.25">
      <c r="A1110" s="10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</row>
    <row r="1111" spans="1:19" s="9" customFormat="1" x14ac:dyDescent="0.25">
      <c r="A1111" s="10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</row>
    <row r="1112" spans="1:19" s="9" customFormat="1" x14ac:dyDescent="0.25">
      <c r="A1112" s="10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</row>
    <row r="1113" spans="1:19" s="9" customFormat="1" x14ac:dyDescent="0.25">
      <c r="A1113" s="10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</row>
    <row r="1114" spans="1:19" s="9" customFormat="1" x14ac:dyDescent="0.25">
      <c r="A1114" s="10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</row>
    <row r="1115" spans="1:19" s="9" customFormat="1" x14ac:dyDescent="0.25">
      <c r="A1115" s="10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</row>
    <row r="1116" spans="1:19" s="9" customFormat="1" x14ac:dyDescent="0.25">
      <c r="A1116" s="10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</row>
    <row r="1117" spans="1:19" s="9" customFormat="1" x14ac:dyDescent="0.25">
      <c r="A1117" s="10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</row>
    <row r="1118" spans="1:19" s="9" customFormat="1" x14ac:dyDescent="0.25">
      <c r="A1118" s="10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</row>
    <row r="1119" spans="1:19" s="9" customFormat="1" x14ac:dyDescent="0.25">
      <c r="A1119" s="10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</row>
    <row r="1120" spans="1:19" s="9" customFormat="1" x14ac:dyDescent="0.25">
      <c r="A1120" s="10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</row>
    <row r="1121" spans="1:19" s="9" customFormat="1" x14ac:dyDescent="0.25">
      <c r="A1121" s="10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</row>
    <row r="1122" spans="1:19" s="9" customFormat="1" x14ac:dyDescent="0.25">
      <c r="A1122" s="10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</row>
    <row r="1123" spans="1:19" s="9" customFormat="1" x14ac:dyDescent="0.25">
      <c r="A1123" s="10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</row>
    <row r="1124" spans="1:19" s="9" customFormat="1" x14ac:dyDescent="0.25">
      <c r="A1124" s="10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</row>
    <row r="1125" spans="1:19" s="9" customFormat="1" x14ac:dyDescent="0.25">
      <c r="A1125" s="10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</row>
    <row r="1126" spans="1:19" s="9" customFormat="1" x14ac:dyDescent="0.25">
      <c r="A1126" s="10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</row>
    <row r="1127" spans="1:19" s="9" customFormat="1" x14ac:dyDescent="0.25">
      <c r="A1127" s="10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</row>
    <row r="1128" spans="1:19" s="9" customFormat="1" x14ac:dyDescent="0.25">
      <c r="A1128" s="10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</row>
    <row r="1129" spans="1:19" s="9" customFormat="1" x14ac:dyDescent="0.25">
      <c r="A1129" s="10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</row>
    <row r="1130" spans="1:19" s="9" customFormat="1" x14ac:dyDescent="0.25">
      <c r="A1130" s="10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</row>
    <row r="1131" spans="1:19" s="9" customFormat="1" x14ac:dyDescent="0.25">
      <c r="A1131" s="10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</row>
    <row r="1132" spans="1:19" s="9" customFormat="1" x14ac:dyDescent="0.25">
      <c r="A1132" s="10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</row>
    <row r="1133" spans="1:19" s="9" customFormat="1" x14ac:dyDescent="0.25">
      <c r="A1133" s="10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</row>
    <row r="1134" spans="1:19" s="9" customFormat="1" x14ac:dyDescent="0.25">
      <c r="A1134" s="10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</row>
    <row r="1135" spans="1:19" s="9" customFormat="1" x14ac:dyDescent="0.25">
      <c r="A1135" s="10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</row>
    <row r="1136" spans="1:19" s="9" customFormat="1" x14ac:dyDescent="0.25">
      <c r="A1136" s="10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</row>
    <row r="1137" spans="1:19" s="9" customFormat="1" x14ac:dyDescent="0.25">
      <c r="A1137" s="10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</row>
    <row r="1138" spans="1:19" s="9" customFormat="1" x14ac:dyDescent="0.25">
      <c r="A1138" s="10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</row>
    <row r="1139" spans="1:19" s="9" customFormat="1" x14ac:dyDescent="0.25">
      <c r="A1139" s="10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</row>
    <row r="1140" spans="1:19" s="9" customFormat="1" x14ac:dyDescent="0.25">
      <c r="A1140" s="10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</row>
    <row r="1141" spans="1:19" s="9" customFormat="1" x14ac:dyDescent="0.25">
      <c r="A1141" s="10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</row>
    <row r="1142" spans="1:19" s="9" customFormat="1" x14ac:dyDescent="0.25">
      <c r="A1142" s="10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</row>
    <row r="1143" spans="1:19" s="9" customFormat="1" x14ac:dyDescent="0.25">
      <c r="A1143" s="10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</row>
    <row r="1144" spans="1:19" s="9" customFormat="1" x14ac:dyDescent="0.25">
      <c r="A1144" s="10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</row>
    <row r="1145" spans="1:19" s="9" customFormat="1" x14ac:dyDescent="0.25">
      <c r="A1145" s="10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</row>
    <row r="1146" spans="1:19" s="9" customFormat="1" x14ac:dyDescent="0.25">
      <c r="A1146" s="10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</row>
    <row r="1147" spans="1:19" s="9" customFormat="1" x14ac:dyDescent="0.25">
      <c r="A1147" s="10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</row>
    <row r="1148" spans="1:19" s="9" customFormat="1" x14ac:dyDescent="0.25">
      <c r="A1148" s="10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</row>
    <row r="1149" spans="1:19" s="9" customFormat="1" x14ac:dyDescent="0.25">
      <c r="A1149" s="10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</row>
    <row r="1150" spans="1:19" s="9" customFormat="1" x14ac:dyDescent="0.25">
      <c r="A1150" s="10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</row>
    <row r="1151" spans="1:19" s="9" customFormat="1" x14ac:dyDescent="0.25">
      <c r="A1151" s="10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</row>
    <row r="1152" spans="1:19" s="9" customFormat="1" x14ac:dyDescent="0.25">
      <c r="A1152" s="10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</row>
    <row r="1153" spans="1:19" s="9" customFormat="1" x14ac:dyDescent="0.25">
      <c r="A1153" s="10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</row>
    <row r="1154" spans="1:19" s="9" customFormat="1" x14ac:dyDescent="0.25">
      <c r="A1154" s="10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</row>
    <row r="1155" spans="1:19" s="9" customFormat="1" x14ac:dyDescent="0.25">
      <c r="A1155" s="10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</row>
    <row r="1156" spans="1:19" s="9" customFormat="1" x14ac:dyDescent="0.25">
      <c r="A1156" s="10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</row>
    <row r="1157" spans="1:19" s="9" customFormat="1" x14ac:dyDescent="0.25">
      <c r="A1157" s="10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</row>
    <row r="1158" spans="1:19" s="9" customFormat="1" x14ac:dyDescent="0.25">
      <c r="A1158" s="10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</row>
    <row r="1159" spans="1:19" s="9" customFormat="1" x14ac:dyDescent="0.25">
      <c r="A1159" s="10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</row>
    <row r="1160" spans="1:19" s="9" customFormat="1" x14ac:dyDescent="0.25">
      <c r="A1160" s="10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</row>
    <row r="1161" spans="1:19" s="9" customFormat="1" x14ac:dyDescent="0.25">
      <c r="A1161" s="10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</row>
    <row r="1162" spans="1:19" s="9" customFormat="1" x14ac:dyDescent="0.25">
      <c r="A1162" s="10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</row>
    <row r="1163" spans="1:19" s="9" customFormat="1" x14ac:dyDescent="0.25">
      <c r="A1163" s="10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</row>
    <row r="1164" spans="1:19" s="9" customFormat="1" x14ac:dyDescent="0.25">
      <c r="A1164" s="10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</row>
    <row r="1165" spans="1:19" s="9" customFormat="1" x14ac:dyDescent="0.25">
      <c r="A1165" s="10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</row>
    <row r="1166" spans="1:19" s="9" customFormat="1" x14ac:dyDescent="0.25">
      <c r="A1166" s="10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</row>
    <row r="1167" spans="1:19" s="9" customFormat="1" x14ac:dyDescent="0.25">
      <c r="A1167" s="10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</row>
    <row r="1168" spans="1:19" s="9" customFormat="1" x14ac:dyDescent="0.25">
      <c r="A1168" s="10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</row>
    <row r="1169" spans="1:19" s="9" customFormat="1" x14ac:dyDescent="0.25">
      <c r="A1169" s="10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</row>
    <row r="1170" spans="1:19" s="9" customFormat="1" x14ac:dyDescent="0.25">
      <c r="A1170" s="10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</row>
    <row r="1171" spans="1:19" s="9" customFormat="1" x14ac:dyDescent="0.25">
      <c r="A1171" s="10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</row>
    <row r="1172" spans="1:19" s="9" customFormat="1" x14ac:dyDescent="0.25">
      <c r="A1172" s="10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</row>
    <row r="1173" spans="1:19" s="9" customFormat="1" x14ac:dyDescent="0.25">
      <c r="A1173" s="10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</row>
    <row r="1174" spans="1:19" s="9" customFormat="1" x14ac:dyDescent="0.25">
      <c r="A1174" s="10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</row>
    <row r="1175" spans="1:19" s="9" customFormat="1" x14ac:dyDescent="0.25">
      <c r="A1175" s="10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</row>
    <row r="1176" spans="1:19" s="9" customFormat="1" x14ac:dyDescent="0.25">
      <c r="A1176" s="10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</row>
    <row r="1177" spans="1:19" s="9" customFormat="1" x14ac:dyDescent="0.25">
      <c r="A1177" s="10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</row>
    <row r="1178" spans="1:19" s="9" customFormat="1" x14ac:dyDescent="0.25">
      <c r="A1178" s="10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</row>
    <row r="1179" spans="1:19" s="9" customFormat="1" x14ac:dyDescent="0.25">
      <c r="A1179" s="10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</row>
    <row r="1180" spans="1:19" s="9" customFormat="1" x14ac:dyDescent="0.25">
      <c r="A1180" s="10"/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</row>
    <row r="1181" spans="1:19" s="9" customFormat="1" x14ac:dyDescent="0.25">
      <c r="A1181" s="10"/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</row>
    <row r="1182" spans="1:19" s="9" customFormat="1" x14ac:dyDescent="0.25">
      <c r="A1182" s="10"/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</row>
    <row r="1183" spans="1:19" s="9" customFormat="1" x14ac:dyDescent="0.25">
      <c r="A1183" s="10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</row>
    <row r="1184" spans="1:19" s="9" customFormat="1" x14ac:dyDescent="0.25">
      <c r="A1184" s="10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</row>
    <row r="1185" spans="1:19" s="9" customFormat="1" x14ac:dyDescent="0.25">
      <c r="A1185" s="10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</row>
    <row r="1186" spans="1:19" s="9" customFormat="1" x14ac:dyDescent="0.25">
      <c r="A1186" s="10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</row>
    <row r="1187" spans="1:19" s="9" customFormat="1" x14ac:dyDescent="0.25">
      <c r="A1187" s="10"/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</row>
    <row r="1188" spans="1:19" s="9" customFormat="1" x14ac:dyDescent="0.25">
      <c r="A1188" s="10"/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</row>
    <row r="1189" spans="1:19" s="9" customFormat="1" x14ac:dyDescent="0.25">
      <c r="A1189" s="10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</row>
    <row r="1190" spans="1:19" s="9" customFormat="1" x14ac:dyDescent="0.25">
      <c r="A1190" s="10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</row>
    <row r="1191" spans="1:19" s="9" customFormat="1" x14ac:dyDescent="0.25">
      <c r="A1191" s="10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</row>
    <row r="1192" spans="1:19" s="9" customFormat="1" x14ac:dyDescent="0.25">
      <c r="A1192" s="10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</row>
    <row r="1193" spans="1:19" s="9" customFormat="1" x14ac:dyDescent="0.25">
      <c r="A1193" s="10"/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</row>
    <row r="1194" spans="1:19" s="9" customFormat="1" x14ac:dyDescent="0.25">
      <c r="A1194" s="10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</row>
    <row r="1195" spans="1:19" s="9" customFormat="1" x14ac:dyDescent="0.25">
      <c r="A1195" s="10"/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</row>
    <row r="1196" spans="1:19" s="9" customFormat="1" x14ac:dyDescent="0.25">
      <c r="A1196" s="10"/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</row>
    <row r="1197" spans="1:19" s="9" customFormat="1" x14ac:dyDescent="0.25">
      <c r="A1197" s="10"/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</row>
    <row r="1198" spans="1:19" s="9" customFormat="1" x14ac:dyDescent="0.25">
      <c r="A1198" s="10"/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</row>
    <row r="1199" spans="1:19" s="9" customFormat="1" x14ac:dyDescent="0.25">
      <c r="A1199" s="10"/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</row>
    <row r="1200" spans="1:19" s="9" customFormat="1" x14ac:dyDescent="0.25">
      <c r="A1200" s="10"/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</row>
    <row r="1201" spans="1:19" s="9" customFormat="1" x14ac:dyDescent="0.25">
      <c r="A1201" s="10"/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</row>
    <row r="1202" spans="1:19" s="9" customFormat="1" x14ac:dyDescent="0.25">
      <c r="A1202" s="10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</row>
    <row r="1203" spans="1:19" s="9" customFormat="1" x14ac:dyDescent="0.25">
      <c r="A1203" s="10"/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</row>
    <row r="1204" spans="1:19" s="9" customFormat="1" x14ac:dyDescent="0.25">
      <c r="A1204" s="10"/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</row>
    <row r="1205" spans="1:19" s="9" customFormat="1" x14ac:dyDescent="0.25">
      <c r="A1205" s="10"/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</row>
    <row r="1206" spans="1:19" s="9" customFormat="1" x14ac:dyDescent="0.25">
      <c r="A1206" s="10"/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</row>
    <row r="1207" spans="1:19" s="9" customFormat="1" x14ac:dyDescent="0.25">
      <c r="A1207" s="10"/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</row>
    <row r="1208" spans="1:19" s="9" customFormat="1" x14ac:dyDescent="0.25">
      <c r="A1208" s="10"/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</row>
    <row r="1209" spans="1:19" s="9" customFormat="1" x14ac:dyDescent="0.25">
      <c r="A1209" s="10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</row>
    <row r="1210" spans="1:19" s="9" customFormat="1" x14ac:dyDescent="0.25">
      <c r="A1210" s="10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</row>
    <row r="1211" spans="1:19" s="9" customFormat="1" x14ac:dyDescent="0.25">
      <c r="A1211" s="10"/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</row>
    <row r="1212" spans="1:19" s="9" customFormat="1" x14ac:dyDescent="0.25">
      <c r="A1212" s="10"/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</row>
    <row r="1213" spans="1:19" s="9" customFormat="1" x14ac:dyDescent="0.25">
      <c r="A1213" s="10"/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</row>
    <row r="1214" spans="1:19" s="9" customFormat="1" x14ac:dyDescent="0.25">
      <c r="A1214" s="10"/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</row>
    <row r="1215" spans="1:19" s="9" customFormat="1" x14ac:dyDescent="0.25">
      <c r="A1215" s="10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</row>
    <row r="1216" spans="1:19" s="9" customFormat="1" x14ac:dyDescent="0.25">
      <c r="A1216" s="10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</row>
    <row r="1217" spans="1:19" s="9" customFormat="1" x14ac:dyDescent="0.25">
      <c r="A1217" s="10"/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</row>
    <row r="1218" spans="1:19" s="9" customFormat="1" x14ac:dyDescent="0.25">
      <c r="A1218" s="10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</row>
    <row r="1219" spans="1:19" s="9" customFormat="1" x14ac:dyDescent="0.25">
      <c r="A1219" s="10"/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</row>
    <row r="1220" spans="1:19" s="9" customFormat="1" x14ac:dyDescent="0.25">
      <c r="A1220" s="10"/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</row>
    <row r="1221" spans="1:19" s="9" customFormat="1" x14ac:dyDescent="0.25">
      <c r="A1221" s="10"/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</row>
    <row r="1222" spans="1:19" s="9" customFormat="1" x14ac:dyDescent="0.25">
      <c r="A1222" s="10"/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</row>
    <row r="1223" spans="1:19" s="9" customFormat="1" x14ac:dyDescent="0.25">
      <c r="A1223" s="10"/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</row>
    <row r="1224" spans="1:19" s="9" customFormat="1" x14ac:dyDescent="0.25">
      <c r="A1224" s="10"/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</row>
    <row r="1225" spans="1:19" s="9" customFormat="1" x14ac:dyDescent="0.25">
      <c r="A1225" s="10"/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</row>
    <row r="1226" spans="1:19" s="9" customFormat="1" x14ac:dyDescent="0.25">
      <c r="A1226" s="10"/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</row>
    <row r="1227" spans="1:19" s="9" customFormat="1" x14ac:dyDescent="0.25">
      <c r="A1227" s="10"/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</row>
    <row r="1228" spans="1:19" s="9" customFormat="1" x14ac:dyDescent="0.25">
      <c r="A1228" s="10"/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</row>
    <row r="1229" spans="1:19" s="9" customFormat="1" x14ac:dyDescent="0.25">
      <c r="A1229" s="10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</row>
    <row r="1230" spans="1:19" s="9" customFormat="1" x14ac:dyDescent="0.25">
      <c r="A1230" s="10"/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</row>
    <row r="1231" spans="1:19" s="9" customFormat="1" x14ac:dyDescent="0.25">
      <c r="A1231" s="10"/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</row>
    <row r="1232" spans="1:19" s="9" customFormat="1" x14ac:dyDescent="0.25">
      <c r="A1232" s="10"/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</row>
    <row r="1233" spans="1:19" s="9" customFormat="1" x14ac:dyDescent="0.25">
      <c r="A1233" s="10"/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</row>
    <row r="1234" spans="1:19" s="9" customFormat="1" x14ac:dyDescent="0.25">
      <c r="A1234" s="10"/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</row>
    <row r="1235" spans="1:19" s="9" customFormat="1" x14ac:dyDescent="0.25">
      <c r="A1235" s="10"/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</row>
    <row r="1236" spans="1:19" s="9" customFormat="1" x14ac:dyDescent="0.25">
      <c r="A1236" s="10"/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</row>
    <row r="1237" spans="1:19" s="9" customFormat="1" x14ac:dyDescent="0.25">
      <c r="A1237" s="10"/>
      <c r="B1237" s="11"/>
      <c r="C1237" s="11"/>
      <c r="D1237" s="11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</row>
    <row r="1238" spans="1:19" s="9" customFormat="1" x14ac:dyDescent="0.25">
      <c r="A1238" s="10"/>
      <c r="B1238" s="11"/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</row>
    <row r="1239" spans="1:19" s="9" customFormat="1" x14ac:dyDescent="0.25">
      <c r="A1239" s="10"/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</row>
    <row r="1240" spans="1:19" s="9" customFormat="1" x14ac:dyDescent="0.25">
      <c r="A1240" s="10"/>
      <c r="B1240" s="11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</row>
    <row r="1241" spans="1:19" s="9" customFormat="1" x14ac:dyDescent="0.25">
      <c r="A1241" s="10"/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</row>
    <row r="1242" spans="1:19" s="9" customFormat="1" x14ac:dyDescent="0.25">
      <c r="A1242" s="10"/>
      <c r="B1242" s="11"/>
      <c r="C1242" s="11"/>
      <c r="D1242" s="11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</row>
    <row r="1243" spans="1:19" s="9" customFormat="1" x14ac:dyDescent="0.25">
      <c r="A1243" s="10"/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</row>
    <row r="1244" spans="1:19" s="9" customFormat="1" x14ac:dyDescent="0.25">
      <c r="A1244" s="10"/>
      <c r="B1244" s="11"/>
      <c r="C1244" s="11"/>
      <c r="D1244" s="11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</row>
    <row r="1245" spans="1:19" s="9" customFormat="1" x14ac:dyDescent="0.25">
      <c r="A1245" s="10"/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</row>
    <row r="1246" spans="1:19" s="9" customFormat="1" x14ac:dyDescent="0.25">
      <c r="A1246" s="10"/>
      <c r="B1246" s="11"/>
      <c r="C1246" s="11"/>
      <c r="D1246" s="11"/>
      <c r="E1246" s="11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</row>
    <row r="1247" spans="1:19" s="9" customFormat="1" x14ac:dyDescent="0.25">
      <c r="A1247" s="10"/>
      <c r="B1247" s="11"/>
      <c r="C1247" s="11"/>
      <c r="D1247" s="11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</row>
    <row r="1248" spans="1:19" s="9" customFormat="1" x14ac:dyDescent="0.25">
      <c r="A1248" s="10"/>
      <c r="B1248" s="11"/>
      <c r="C1248" s="11"/>
      <c r="D1248" s="11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</row>
    <row r="1249" spans="1:19" s="9" customFormat="1" x14ac:dyDescent="0.25">
      <c r="A1249" s="10"/>
      <c r="B1249" s="11"/>
      <c r="C1249" s="11"/>
      <c r="D1249" s="11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</row>
    <row r="1250" spans="1:19" s="9" customFormat="1" x14ac:dyDescent="0.25">
      <c r="A1250" s="10"/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</row>
    <row r="1251" spans="1:19" s="9" customFormat="1" x14ac:dyDescent="0.25">
      <c r="A1251" s="10"/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</row>
    <row r="1252" spans="1:19" s="9" customFormat="1" x14ac:dyDescent="0.25">
      <c r="A1252" s="10"/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</row>
    <row r="1253" spans="1:19" s="9" customFormat="1" x14ac:dyDescent="0.25">
      <c r="A1253" s="10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</row>
    <row r="1254" spans="1:19" s="9" customFormat="1" x14ac:dyDescent="0.25">
      <c r="A1254" s="10"/>
      <c r="B1254" s="11"/>
      <c r="C1254" s="11"/>
      <c r="D1254" s="11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</row>
    <row r="1255" spans="1:19" s="9" customFormat="1" x14ac:dyDescent="0.25">
      <c r="A1255" s="10"/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</row>
    <row r="1256" spans="1:19" s="9" customFormat="1" x14ac:dyDescent="0.25">
      <c r="A1256" s="10"/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</row>
    <row r="1257" spans="1:19" s="9" customFormat="1" x14ac:dyDescent="0.25">
      <c r="A1257" s="10"/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</row>
    <row r="1258" spans="1:19" s="9" customFormat="1" x14ac:dyDescent="0.25">
      <c r="A1258" s="10"/>
      <c r="B1258" s="11"/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</row>
    <row r="1259" spans="1:19" s="9" customFormat="1" x14ac:dyDescent="0.25">
      <c r="A1259" s="10"/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</row>
    <row r="1260" spans="1:19" s="9" customFormat="1" x14ac:dyDescent="0.25">
      <c r="A1260" s="10"/>
      <c r="B1260" s="11"/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</row>
    <row r="1261" spans="1:19" s="9" customFormat="1" x14ac:dyDescent="0.25">
      <c r="A1261" s="10"/>
      <c r="B1261" s="11"/>
      <c r="C1261" s="11"/>
      <c r="D1261" s="11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</row>
    <row r="1262" spans="1:19" s="9" customFormat="1" x14ac:dyDescent="0.25">
      <c r="A1262" s="10"/>
      <c r="B1262" s="11"/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</row>
    <row r="1263" spans="1:19" s="9" customFormat="1" x14ac:dyDescent="0.25">
      <c r="A1263" s="10"/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</row>
    <row r="1264" spans="1:19" s="9" customFormat="1" x14ac:dyDescent="0.25">
      <c r="A1264" s="10"/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</row>
    <row r="1265" spans="1:19" s="9" customFormat="1" x14ac:dyDescent="0.25">
      <c r="A1265" s="10"/>
      <c r="B1265" s="11"/>
      <c r="C1265" s="11"/>
      <c r="D1265" s="11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</row>
    <row r="1266" spans="1:19" s="9" customFormat="1" x14ac:dyDescent="0.25">
      <c r="A1266" s="10"/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</row>
    <row r="1267" spans="1:19" s="9" customFormat="1" x14ac:dyDescent="0.25">
      <c r="A1267" s="10"/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</row>
    <row r="1268" spans="1:19" s="9" customFormat="1" x14ac:dyDescent="0.25">
      <c r="A1268" s="10"/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</row>
    <row r="1269" spans="1:19" s="9" customFormat="1" x14ac:dyDescent="0.25">
      <c r="A1269" s="10"/>
      <c r="B1269" s="11"/>
      <c r="C1269" s="11"/>
      <c r="D1269" s="11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</row>
    <row r="1270" spans="1:19" s="9" customFormat="1" x14ac:dyDescent="0.25">
      <c r="A1270" s="10"/>
      <c r="B1270" s="11"/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</row>
    <row r="1271" spans="1:19" s="9" customFormat="1" x14ac:dyDescent="0.25">
      <c r="A1271" s="10"/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</row>
    <row r="1272" spans="1:19" s="9" customFormat="1" x14ac:dyDescent="0.25">
      <c r="A1272" s="10"/>
      <c r="B1272" s="11"/>
      <c r="C1272" s="11"/>
      <c r="D1272" s="11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</row>
    <row r="1273" spans="1:19" s="9" customFormat="1" x14ac:dyDescent="0.25">
      <c r="A1273" s="10"/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</row>
    <row r="1274" spans="1:19" s="9" customFormat="1" x14ac:dyDescent="0.25">
      <c r="A1274" s="10"/>
      <c r="B1274" s="11"/>
      <c r="C1274" s="11"/>
      <c r="D1274" s="11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</row>
    <row r="1275" spans="1:19" s="9" customFormat="1" x14ac:dyDescent="0.25">
      <c r="A1275" s="10"/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</row>
    <row r="1276" spans="1:19" s="9" customFormat="1" x14ac:dyDescent="0.25">
      <c r="A1276" s="10"/>
      <c r="B1276" s="11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</row>
    <row r="1277" spans="1:19" s="9" customFormat="1" x14ac:dyDescent="0.25">
      <c r="A1277" s="10"/>
      <c r="B1277" s="11"/>
      <c r="C1277" s="11"/>
      <c r="D1277" s="11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</row>
    <row r="1278" spans="1:19" s="9" customFormat="1" x14ac:dyDescent="0.25">
      <c r="A1278" s="10"/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</row>
    <row r="1279" spans="1:19" s="9" customFormat="1" x14ac:dyDescent="0.25">
      <c r="A1279" s="10"/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</row>
    <row r="1280" spans="1:19" s="9" customFormat="1" x14ac:dyDescent="0.25">
      <c r="A1280" s="10"/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</row>
    <row r="1281" spans="1:19" s="9" customFormat="1" x14ac:dyDescent="0.25">
      <c r="A1281" s="10"/>
      <c r="B1281" s="11"/>
      <c r="C1281" s="11"/>
      <c r="D1281" s="11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</row>
    <row r="1282" spans="1:19" s="9" customFormat="1" x14ac:dyDescent="0.25">
      <c r="A1282" s="10"/>
      <c r="B1282" s="11"/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</row>
    <row r="1283" spans="1:19" s="9" customFormat="1" x14ac:dyDescent="0.25">
      <c r="A1283" s="10"/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</row>
    <row r="1284" spans="1:19" s="9" customFormat="1" x14ac:dyDescent="0.25">
      <c r="A1284" s="10"/>
      <c r="B1284" s="11"/>
      <c r="C1284" s="11"/>
      <c r="D1284" s="11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</row>
    <row r="1285" spans="1:19" s="9" customFormat="1" x14ac:dyDescent="0.25">
      <c r="A1285" s="10"/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</row>
    <row r="1286" spans="1:19" s="9" customFormat="1" x14ac:dyDescent="0.25">
      <c r="A1286" s="10"/>
      <c r="B1286" s="11"/>
      <c r="C1286" s="11"/>
      <c r="D1286" s="11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</row>
    <row r="1287" spans="1:19" s="9" customFormat="1" x14ac:dyDescent="0.25">
      <c r="A1287" s="10"/>
      <c r="B1287" s="11"/>
      <c r="C1287" s="11"/>
      <c r="D1287" s="11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</row>
    <row r="1288" spans="1:19" s="9" customFormat="1" x14ac:dyDescent="0.25">
      <c r="A1288" s="10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</row>
    <row r="1289" spans="1:19" s="9" customFormat="1" x14ac:dyDescent="0.25">
      <c r="A1289" s="10"/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</row>
    <row r="1290" spans="1:19" s="9" customFormat="1" x14ac:dyDescent="0.25">
      <c r="A1290" s="10"/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</row>
    <row r="1291" spans="1:19" s="9" customFormat="1" x14ac:dyDescent="0.25">
      <c r="A1291" s="10"/>
      <c r="B1291" s="11"/>
      <c r="C1291" s="11"/>
      <c r="D1291" s="11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</row>
    <row r="1292" spans="1:19" s="9" customFormat="1" x14ac:dyDescent="0.25">
      <c r="A1292" s="10"/>
      <c r="B1292" s="11"/>
      <c r="C1292" s="11"/>
      <c r="D1292" s="11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</row>
    <row r="1293" spans="1:19" s="9" customFormat="1" x14ac:dyDescent="0.25">
      <c r="A1293" s="10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</row>
    <row r="1294" spans="1:19" s="9" customFormat="1" x14ac:dyDescent="0.25">
      <c r="A1294" s="10"/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</row>
    <row r="1295" spans="1:19" s="9" customFormat="1" x14ac:dyDescent="0.25">
      <c r="A1295" s="10"/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</row>
    <row r="1296" spans="1:19" s="9" customFormat="1" x14ac:dyDescent="0.25">
      <c r="A1296" s="10"/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</row>
    <row r="1297" spans="1:19" s="9" customFormat="1" x14ac:dyDescent="0.25">
      <c r="A1297" s="10"/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</row>
    <row r="1298" spans="1:19" s="9" customFormat="1" x14ac:dyDescent="0.25">
      <c r="A1298" s="10"/>
      <c r="B1298" s="11"/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</row>
    <row r="1299" spans="1:19" s="9" customFormat="1" x14ac:dyDescent="0.25">
      <c r="A1299" s="10"/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</row>
    <row r="1300" spans="1:19" s="9" customFormat="1" x14ac:dyDescent="0.25">
      <c r="A1300" s="10"/>
      <c r="B1300" s="11"/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</row>
    <row r="1301" spans="1:19" s="9" customFormat="1" x14ac:dyDescent="0.25">
      <c r="A1301" s="10"/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</row>
    <row r="1302" spans="1:19" s="9" customFormat="1" x14ac:dyDescent="0.25">
      <c r="A1302" s="10"/>
      <c r="B1302" s="11"/>
      <c r="C1302" s="11"/>
      <c r="D1302" s="11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1"/>
    </row>
    <row r="1303" spans="1:19" s="9" customFormat="1" x14ac:dyDescent="0.25">
      <c r="A1303" s="10"/>
      <c r="B1303" s="11"/>
      <c r="C1303" s="11"/>
      <c r="D1303" s="11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</row>
    <row r="1304" spans="1:19" s="9" customFormat="1" x14ac:dyDescent="0.25">
      <c r="A1304" s="10"/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</row>
    <row r="1305" spans="1:19" s="9" customFormat="1" x14ac:dyDescent="0.25">
      <c r="A1305" s="10"/>
      <c r="B1305" s="11"/>
      <c r="C1305" s="11"/>
      <c r="D1305" s="11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</row>
    <row r="1306" spans="1:19" s="9" customFormat="1" x14ac:dyDescent="0.25">
      <c r="A1306" s="10"/>
      <c r="B1306" s="11"/>
      <c r="C1306" s="11"/>
      <c r="D1306" s="11"/>
      <c r="E1306" s="11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  <c r="S1306" s="11"/>
    </row>
    <row r="1307" spans="1:19" s="9" customFormat="1" x14ac:dyDescent="0.25">
      <c r="A1307" s="10"/>
      <c r="B1307" s="11"/>
      <c r="C1307" s="11"/>
      <c r="D1307" s="11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</row>
    <row r="1308" spans="1:19" s="9" customFormat="1" x14ac:dyDescent="0.25">
      <c r="A1308" s="10"/>
      <c r="B1308" s="11"/>
      <c r="C1308" s="11"/>
      <c r="D1308" s="11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</row>
    <row r="1309" spans="1:19" s="9" customFormat="1" x14ac:dyDescent="0.25">
      <c r="A1309" s="10"/>
      <c r="B1309" s="11"/>
      <c r="C1309" s="11"/>
      <c r="D1309" s="11"/>
      <c r="E1309" s="11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</row>
    <row r="1310" spans="1:19" s="9" customFormat="1" x14ac:dyDescent="0.25">
      <c r="A1310" s="10"/>
      <c r="B1310" s="11"/>
      <c r="C1310" s="11"/>
      <c r="D1310" s="11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</row>
    <row r="1311" spans="1:19" s="9" customFormat="1" x14ac:dyDescent="0.25">
      <c r="A1311" s="10"/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</row>
    <row r="1312" spans="1:19" s="9" customFormat="1" x14ac:dyDescent="0.25">
      <c r="A1312" s="10"/>
      <c r="B1312" s="11"/>
      <c r="C1312" s="11"/>
      <c r="D1312" s="11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</row>
    <row r="1313" spans="1:19" s="9" customFormat="1" x14ac:dyDescent="0.25">
      <c r="A1313" s="10"/>
      <c r="B1313" s="11"/>
      <c r="C1313" s="11"/>
      <c r="D1313" s="11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</row>
    <row r="1314" spans="1:19" s="9" customFormat="1" x14ac:dyDescent="0.25">
      <c r="A1314" s="10"/>
      <c r="B1314" s="11"/>
      <c r="C1314" s="11"/>
      <c r="D1314" s="11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</row>
    <row r="1315" spans="1:19" s="9" customFormat="1" x14ac:dyDescent="0.25">
      <c r="A1315" s="10"/>
      <c r="B1315" s="11"/>
      <c r="C1315" s="11"/>
      <c r="D1315" s="11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</row>
    <row r="1316" spans="1:19" s="9" customFormat="1" x14ac:dyDescent="0.25">
      <c r="A1316" s="10"/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</row>
    <row r="1317" spans="1:19" s="9" customFormat="1" x14ac:dyDescent="0.25">
      <c r="A1317" s="10"/>
      <c r="B1317" s="11"/>
      <c r="C1317" s="11"/>
      <c r="D1317" s="11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</row>
    <row r="1318" spans="1:19" s="9" customFormat="1" x14ac:dyDescent="0.25">
      <c r="A1318" s="10"/>
      <c r="B1318" s="11"/>
      <c r="C1318" s="11"/>
      <c r="D1318" s="11"/>
      <c r="E1318" s="11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</row>
    <row r="1319" spans="1:19" s="9" customFormat="1" x14ac:dyDescent="0.25">
      <c r="A1319" s="10"/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</row>
    <row r="1320" spans="1:19" s="9" customFormat="1" x14ac:dyDescent="0.25">
      <c r="A1320" s="10"/>
      <c r="B1320" s="11"/>
      <c r="C1320" s="11"/>
      <c r="D1320" s="11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</row>
    <row r="1321" spans="1:19" s="9" customFormat="1" x14ac:dyDescent="0.25">
      <c r="A1321" s="10"/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1"/>
    </row>
    <row r="1322" spans="1:19" s="9" customFormat="1" x14ac:dyDescent="0.25">
      <c r="A1322" s="10"/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</row>
    <row r="1323" spans="1:19" s="9" customFormat="1" x14ac:dyDescent="0.25">
      <c r="A1323" s="10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</row>
    <row r="1324" spans="1:19" s="9" customFormat="1" x14ac:dyDescent="0.25">
      <c r="A1324" s="10"/>
      <c r="B1324" s="11"/>
      <c r="C1324" s="11"/>
      <c r="D1324" s="11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</row>
    <row r="1325" spans="1:19" s="9" customFormat="1" x14ac:dyDescent="0.25">
      <c r="A1325" s="10"/>
      <c r="B1325" s="11"/>
      <c r="C1325" s="11"/>
      <c r="D1325" s="11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</row>
    <row r="1326" spans="1:19" s="9" customFormat="1" x14ac:dyDescent="0.25">
      <c r="A1326" s="10"/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</row>
    <row r="1327" spans="1:19" s="9" customFormat="1" x14ac:dyDescent="0.25">
      <c r="A1327" s="10"/>
      <c r="B1327" s="11"/>
      <c r="C1327" s="11"/>
      <c r="D1327" s="11"/>
      <c r="E1327" s="11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</row>
    <row r="1328" spans="1:19" s="9" customFormat="1" x14ac:dyDescent="0.25">
      <c r="A1328" s="10"/>
      <c r="B1328" s="11"/>
      <c r="C1328" s="11"/>
      <c r="D1328" s="11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</row>
    <row r="1329" spans="1:19" s="9" customFormat="1" x14ac:dyDescent="0.25">
      <c r="A1329" s="10"/>
      <c r="B1329" s="11"/>
      <c r="C1329" s="11"/>
      <c r="D1329" s="11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</row>
    <row r="1330" spans="1:19" s="9" customFormat="1" x14ac:dyDescent="0.25">
      <c r="A1330" s="10"/>
      <c r="B1330" s="11"/>
      <c r="C1330" s="11"/>
      <c r="D1330" s="11"/>
      <c r="E1330" s="11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</row>
    <row r="1331" spans="1:19" s="9" customFormat="1" x14ac:dyDescent="0.25">
      <c r="A1331" s="10"/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</row>
    <row r="1332" spans="1:19" s="9" customFormat="1" x14ac:dyDescent="0.25">
      <c r="A1332" s="10"/>
      <c r="B1332" s="11"/>
      <c r="C1332" s="11"/>
      <c r="D1332" s="11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</row>
    <row r="1333" spans="1:19" s="9" customFormat="1" x14ac:dyDescent="0.25">
      <c r="A1333" s="10"/>
      <c r="B1333" s="11"/>
      <c r="C1333" s="11"/>
      <c r="D1333" s="11"/>
      <c r="E1333" s="11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</row>
    <row r="1334" spans="1:19" s="9" customFormat="1" x14ac:dyDescent="0.25">
      <c r="A1334" s="10"/>
      <c r="B1334" s="11"/>
      <c r="C1334" s="11"/>
      <c r="D1334" s="11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</row>
    <row r="1335" spans="1:19" s="9" customFormat="1" x14ac:dyDescent="0.25">
      <c r="A1335" s="10"/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</row>
    <row r="1336" spans="1:19" s="9" customFormat="1" x14ac:dyDescent="0.25">
      <c r="A1336" s="10"/>
      <c r="B1336" s="11"/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</row>
    <row r="1337" spans="1:19" s="9" customFormat="1" x14ac:dyDescent="0.25">
      <c r="A1337" s="10"/>
      <c r="B1337" s="11"/>
      <c r="C1337" s="11"/>
      <c r="D1337" s="11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</row>
    <row r="1338" spans="1:19" s="9" customFormat="1" x14ac:dyDescent="0.25">
      <c r="A1338" s="10"/>
      <c r="B1338" s="11"/>
      <c r="C1338" s="11"/>
      <c r="D1338" s="11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</row>
    <row r="1339" spans="1:19" s="9" customFormat="1" x14ac:dyDescent="0.25">
      <c r="A1339" s="10"/>
      <c r="B1339" s="11"/>
      <c r="C1339" s="11"/>
      <c r="D1339" s="11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</row>
    <row r="1340" spans="1:19" s="9" customFormat="1" x14ac:dyDescent="0.25">
      <c r="A1340" s="10"/>
      <c r="B1340" s="11"/>
      <c r="C1340" s="11"/>
      <c r="D1340" s="11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</row>
    <row r="1341" spans="1:19" s="9" customFormat="1" x14ac:dyDescent="0.25">
      <c r="A1341" s="10"/>
      <c r="B1341" s="11"/>
      <c r="C1341" s="11"/>
      <c r="D1341" s="11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</row>
    <row r="1342" spans="1:19" s="9" customFormat="1" x14ac:dyDescent="0.25">
      <c r="A1342" s="10"/>
      <c r="B1342" s="11"/>
      <c r="C1342" s="11"/>
      <c r="D1342" s="11"/>
      <c r="E1342" s="11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</row>
    <row r="1343" spans="1:19" s="9" customFormat="1" x14ac:dyDescent="0.25">
      <c r="A1343" s="10"/>
      <c r="B1343" s="11"/>
      <c r="C1343" s="11"/>
      <c r="D1343" s="11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</row>
    <row r="1344" spans="1:19" s="9" customFormat="1" x14ac:dyDescent="0.25">
      <c r="A1344" s="10"/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</row>
    <row r="1345" spans="1:19" s="9" customFormat="1" x14ac:dyDescent="0.25">
      <c r="A1345" s="10"/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</row>
    <row r="1346" spans="1:19" s="9" customFormat="1" x14ac:dyDescent="0.25">
      <c r="A1346" s="10"/>
      <c r="B1346" s="11"/>
      <c r="C1346" s="11"/>
      <c r="D1346" s="11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</row>
    <row r="1347" spans="1:19" s="9" customFormat="1" x14ac:dyDescent="0.25">
      <c r="A1347" s="10"/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</row>
    <row r="1348" spans="1:19" s="9" customFormat="1" x14ac:dyDescent="0.25">
      <c r="A1348" s="10"/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</row>
    <row r="1349" spans="1:19" s="9" customFormat="1" x14ac:dyDescent="0.25">
      <c r="A1349" s="10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</row>
    <row r="1350" spans="1:19" s="9" customFormat="1" x14ac:dyDescent="0.25">
      <c r="A1350" s="10"/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</row>
    <row r="1351" spans="1:19" s="9" customFormat="1" x14ac:dyDescent="0.25">
      <c r="A1351" s="10"/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</row>
    <row r="1352" spans="1:19" s="9" customFormat="1" x14ac:dyDescent="0.25">
      <c r="A1352" s="10"/>
      <c r="B1352" s="11"/>
      <c r="C1352" s="11"/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</row>
    <row r="1353" spans="1:19" s="9" customFormat="1" x14ac:dyDescent="0.25">
      <c r="A1353" s="10"/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</row>
    <row r="1354" spans="1:19" s="9" customFormat="1" x14ac:dyDescent="0.25">
      <c r="A1354" s="10"/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</row>
    <row r="1355" spans="1:19" s="9" customFormat="1" x14ac:dyDescent="0.25">
      <c r="A1355" s="10"/>
      <c r="B1355" s="11"/>
      <c r="C1355" s="11"/>
      <c r="D1355" s="11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</row>
    <row r="1356" spans="1:19" s="9" customFormat="1" x14ac:dyDescent="0.25">
      <c r="A1356" s="10"/>
      <c r="B1356" s="11"/>
      <c r="C1356" s="11"/>
      <c r="D1356" s="11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</row>
    <row r="1357" spans="1:19" s="9" customFormat="1" x14ac:dyDescent="0.25">
      <c r="A1357" s="10"/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</row>
    <row r="1358" spans="1:19" s="9" customFormat="1" x14ac:dyDescent="0.25">
      <c r="A1358" s="10"/>
      <c r="B1358" s="11"/>
      <c r="C1358" s="11"/>
      <c r="D1358" s="11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</row>
    <row r="1359" spans="1:19" s="9" customFormat="1" x14ac:dyDescent="0.25">
      <c r="A1359" s="10"/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</row>
    <row r="1360" spans="1:19" s="9" customFormat="1" x14ac:dyDescent="0.25">
      <c r="A1360" s="10"/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</row>
    <row r="1361" spans="1:19" s="9" customFormat="1" x14ac:dyDescent="0.25">
      <c r="A1361" s="10"/>
      <c r="B1361" s="11"/>
      <c r="C1361" s="11"/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</row>
    <row r="1362" spans="1:19" s="9" customFormat="1" x14ac:dyDescent="0.25">
      <c r="A1362" s="10"/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</row>
    <row r="1363" spans="1:19" s="9" customFormat="1" x14ac:dyDescent="0.25">
      <c r="A1363" s="10"/>
      <c r="B1363" s="11"/>
      <c r="C1363" s="11"/>
      <c r="D1363" s="11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</row>
    <row r="1364" spans="1:19" s="9" customFormat="1" x14ac:dyDescent="0.25">
      <c r="A1364" s="10"/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</row>
    <row r="1365" spans="1:19" s="9" customFormat="1" x14ac:dyDescent="0.25">
      <c r="A1365" s="10"/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</row>
    <row r="1366" spans="1:19" s="9" customFormat="1" x14ac:dyDescent="0.25">
      <c r="A1366" s="10"/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</row>
    <row r="1367" spans="1:19" s="9" customFormat="1" x14ac:dyDescent="0.25">
      <c r="A1367" s="10"/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</row>
    <row r="1368" spans="1:19" s="9" customFormat="1" x14ac:dyDescent="0.25">
      <c r="A1368" s="10"/>
      <c r="B1368" s="11"/>
      <c r="C1368" s="11"/>
      <c r="D1368" s="11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</row>
    <row r="1369" spans="1:19" s="9" customFormat="1" x14ac:dyDescent="0.25">
      <c r="A1369" s="10"/>
      <c r="B1369" s="11"/>
      <c r="C1369" s="11"/>
      <c r="D1369" s="11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</row>
    <row r="1370" spans="1:19" s="9" customFormat="1" x14ac:dyDescent="0.25">
      <c r="A1370" s="10"/>
      <c r="B1370" s="11"/>
      <c r="C1370" s="11"/>
      <c r="D1370" s="11"/>
      <c r="E1370" s="11"/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</row>
    <row r="1371" spans="1:19" s="9" customFormat="1" x14ac:dyDescent="0.25">
      <c r="A1371" s="10"/>
      <c r="B1371" s="11"/>
      <c r="C1371" s="11"/>
      <c r="D1371" s="11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</row>
    <row r="1372" spans="1:19" s="9" customFormat="1" x14ac:dyDescent="0.25">
      <c r="A1372" s="10"/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</row>
    <row r="1373" spans="1:19" s="9" customFormat="1" x14ac:dyDescent="0.25">
      <c r="A1373" s="10"/>
      <c r="B1373" s="11"/>
      <c r="C1373" s="11"/>
      <c r="D1373" s="11"/>
      <c r="E1373" s="11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</row>
    <row r="1374" spans="1:19" s="9" customFormat="1" x14ac:dyDescent="0.25">
      <c r="A1374" s="10"/>
      <c r="B1374" s="11"/>
      <c r="C1374" s="11"/>
      <c r="D1374" s="11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</row>
    <row r="1375" spans="1:19" s="9" customFormat="1" x14ac:dyDescent="0.25">
      <c r="A1375" s="10"/>
      <c r="B1375" s="11"/>
      <c r="C1375" s="11"/>
      <c r="D1375" s="11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</row>
    <row r="1376" spans="1:19" s="9" customFormat="1" x14ac:dyDescent="0.25">
      <c r="A1376" s="10"/>
      <c r="B1376" s="11"/>
      <c r="C1376" s="11"/>
      <c r="D1376" s="11"/>
      <c r="E1376" s="11"/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</row>
    <row r="1377" spans="1:19" s="9" customFormat="1" x14ac:dyDescent="0.25">
      <c r="A1377" s="10"/>
      <c r="B1377" s="11"/>
      <c r="C1377" s="11"/>
      <c r="D1377" s="11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</row>
    <row r="1378" spans="1:19" s="9" customFormat="1" x14ac:dyDescent="0.25">
      <c r="A1378" s="10"/>
      <c r="B1378" s="11"/>
      <c r="C1378" s="11"/>
      <c r="D1378" s="11"/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</row>
    <row r="1379" spans="1:19" s="9" customFormat="1" x14ac:dyDescent="0.25">
      <c r="A1379" s="10"/>
      <c r="B1379" s="11"/>
      <c r="C1379" s="11"/>
      <c r="D1379" s="11"/>
      <c r="E1379" s="11"/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</row>
    <row r="1380" spans="1:19" s="9" customFormat="1" x14ac:dyDescent="0.25">
      <c r="A1380" s="10"/>
      <c r="B1380" s="11"/>
      <c r="C1380" s="11"/>
      <c r="D1380" s="11"/>
      <c r="E1380" s="11"/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  <c r="S1380" s="11"/>
    </row>
    <row r="1381" spans="1:19" s="9" customFormat="1" x14ac:dyDescent="0.25">
      <c r="A1381" s="10"/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</row>
    <row r="1382" spans="1:19" s="9" customFormat="1" x14ac:dyDescent="0.25">
      <c r="A1382" s="10"/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</row>
    <row r="1383" spans="1:19" s="9" customFormat="1" x14ac:dyDescent="0.25">
      <c r="A1383" s="10"/>
      <c r="B1383" s="11"/>
      <c r="C1383" s="11"/>
      <c r="D1383" s="11"/>
      <c r="E1383" s="11"/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</row>
    <row r="1384" spans="1:19" s="9" customFormat="1" x14ac:dyDescent="0.25">
      <c r="A1384" s="10"/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</row>
    <row r="1385" spans="1:19" s="9" customFormat="1" x14ac:dyDescent="0.25">
      <c r="A1385" s="10"/>
      <c r="B1385" s="11"/>
      <c r="C1385" s="11"/>
      <c r="D1385" s="11"/>
      <c r="E1385" s="11"/>
      <c r="F1385" s="11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</row>
    <row r="1386" spans="1:19" s="9" customFormat="1" x14ac:dyDescent="0.25">
      <c r="A1386" s="10"/>
      <c r="B1386" s="11"/>
      <c r="C1386" s="11"/>
      <c r="D1386" s="11"/>
      <c r="E1386" s="11"/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</row>
    <row r="1387" spans="1:19" s="9" customFormat="1" x14ac:dyDescent="0.25">
      <c r="A1387" s="10"/>
      <c r="B1387" s="11"/>
      <c r="C1387" s="11"/>
      <c r="D1387" s="11"/>
      <c r="E1387" s="11"/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</row>
    <row r="1388" spans="1:19" s="9" customFormat="1" x14ac:dyDescent="0.25">
      <c r="A1388" s="10"/>
      <c r="B1388" s="11"/>
      <c r="C1388" s="11"/>
      <c r="D1388" s="11"/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11"/>
    </row>
    <row r="1389" spans="1:19" s="9" customFormat="1" x14ac:dyDescent="0.25">
      <c r="A1389" s="10"/>
      <c r="B1389" s="11"/>
      <c r="C1389" s="11"/>
      <c r="D1389" s="11"/>
      <c r="E1389" s="11"/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</row>
    <row r="1390" spans="1:19" s="9" customFormat="1" x14ac:dyDescent="0.25">
      <c r="A1390" s="10"/>
      <c r="B1390" s="11"/>
      <c r="C1390" s="11"/>
      <c r="D1390" s="11"/>
      <c r="E1390" s="11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</row>
    <row r="1391" spans="1:19" s="9" customFormat="1" x14ac:dyDescent="0.25">
      <c r="A1391" s="10"/>
      <c r="B1391" s="11"/>
      <c r="C1391" s="11"/>
      <c r="D1391" s="11"/>
      <c r="E1391" s="11"/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</row>
    <row r="1392" spans="1:19" s="9" customFormat="1" x14ac:dyDescent="0.25">
      <c r="A1392" s="10"/>
      <c r="B1392" s="11"/>
      <c r="C1392" s="11"/>
      <c r="D1392" s="11"/>
      <c r="E1392" s="11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</row>
    <row r="1393" spans="1:19" s="9" customFormat="1" x14ac:dyDescent="0.25">
      <c r="A1393" s="10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</row>
    <row r="1394" spans="1:19" s="9" customFormat="1" x14ac:dyDescent="0.25">
      <c r="A1394" s="10"/>
      <c r="B1394" s="11"/>
      <c r="C1394" s="11"/>
      <c r="D1394" s="11"/>
      <c r="E1394" s="11"/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</row>
    <row r="1395" spans="1:19" s="9" customFormat="1" x14ac:dyDescent="0.25">
      <c r="A1395" s="10"/>
      <c r="B1395" s="11"/>
      <c r="C1395" s="11"/>
      <c r="D1395" s="11"/>
      <c r="E1395" s="11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</row>
    <row r="1396" spans="1:19" s="9" customFormat="1" x14ac:dyDescent="0.25">
      <c r="A1396" s="10"/>
      <c r="B1396" s="11"/>
      <c r="C1396" s="11"/>
      <c r="D1396" s="11"/>
      <c r="E1396" s="11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</row>
    <row r="1397" spans="1:19" s="9" customFormat="1" x14ac:dyDescent="0.25">
      <c r="A1397" s="10"/>
      <c r="B1397" s="11"/>
      <c r="C1397" s="11"/>
      <c r="D1397" s="11"/>
      <c r="E1397" s="11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</row>
    <row r="1398" spans="1:19" s="9" customFormat="1" x14ac:dyDescent="0.25">
      <c r="A1398" s="10"/>
      <c r="B1398" s="11"/>
      <c r="C1398" s="11"/>
      <c r="D1398" s="11"/>
      <c r="E1398" s="11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</row>
    <row r="1399" spans="1:19" s="9" customFormat="1" x14ac:dyDescent="0.25">
      <c r="A1399" s="10"/>
      <c r="B1399" s="11"/>
      <c r="C1399" s="11"/>
      <c r="D1399" s="11"/>
      <c r="E1399" s="11"/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</row>
    <row r="1400" spans="1:19" s="9" customFormat="1" x14ac:dyDescent="0.25">
      <c r="A1400" s="10"/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</row>
    <row r="1401" spans="1:19" s="9" customFormat="1" x14ac:dyDescent="0.25">
      <c r="A1401" s="10"/>
      <c r="B1401" s="11"/>
      <c r="C1401" s="11"/>
      <c r="D1401" s="11"/>
      <c r="E1401" s="11"/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</row>
    <row r="1402" spans="1:19" s="9" customFormat="1" x14ac:dyDescent="0.25">
      <c r="A1402" s="10"/>
      <c r="B1402" s="11"/>
      <c r="C1402" s="11"/>
      <c r="D1402" s="11"/>
      <c r="E1402" s="11"/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</row>
    <row r="1403" spans="1:19" s="9" customFormat="1" x14ac:dyDescent="0.25">
      <c r="A1403" s="10"/>
      <c r="B1403" s="11"/>
      <c r="C1403" s="11"/>
      <c r="D1403" s="11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</row>
    <row r="1404" spans="1:19" s="9" customFormat="1" x14ac:dyDescent="0.25">
      <c r="A1404" s="10"/>
      <c r="B1404" s="11"/>
      <c r="C1404" s="11"/>
      <c r="D1404" s="11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</row>
    <row r="1405" spans="1:19" s="9" customFormat="1" x14ac:dyDescent="0.25">
      <c r="A1405" s="10"/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</row>
    <row r="1406" spans="1:19" s="9" customFormat="1" x14ac:dyDescent="0.25">
      <c r="A1406" s="10"/>
      <c r="B1406" s="11"/>
      <c r="C1406" s="11"/>
      <c r="D1406" s="11"/>
      <c r="E1406" s="11"/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</row>
    <row r="1407" spans="1:19" s="9" customFormat="1" x14ac:dyDescent="0.25">
      <c r="A1407" s="10"/>
      <c r="B1407" s="11"/>
      <c r="C1407" s="11"/>
      <c r="D1407" s="11"/>
      <c r="E1407" s="11"/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  <c r="S1407" s="11"/>
    </row>
    <row r="1408" spans="1:19" s="9" customFormat="1" x14ac:dyDescent="0.25">
      <c r="A1408" s="10"/>
      <c r="B1408" s="11"/>
      <c r="C1408" s="11"/>
      <c r="D1408" s="11"/>
      <c r="E1408" s="11"/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</row>
    <row r="1409" spans="1:19" s="9" customFormat="1" x14ac:dyDescent="0.25">
      <c r="A1409" s="10"/>
      <c r="B1409" s="11"/>
      <c r="C1409" s="11"/>
      <c r="D1409" s="11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</row>
    <row r="1410" spans="1:19" s="9" customFormat="1" x14ac:dyDescent="0.25">
      <c r="A1410" s="10"/>
      <c r="B1410" s="11"/>
      <c r="C1410" s="11"/>
      <c r="D1410" s="11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</row>
    <row r="1411" spans="1:19" s="9" customFormat="1" x14ac:dyDescent="0.25">
      <c r="A1411" s="10"/>
      <c r="B1411" s="11"/>
      <c r="C1411" s="11"/>
      <c r="D1411" s="11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</row>
    <row r="1412" spans="1:19" s="9" customFormat="1" x14ac:dyDescent="0.25">
      <c r="A1412" s="10"/>
      <c r="B1412" s="11"/>
      <c r="C1412" s="11"/>
      <c r="D1412" s="11"/>
      <c r="E1412" s="11"/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</row>
    <row r="1413" spans="1:19" s="9" customFormat="1" x14ac:dyDescent="0.25">
      <c r="A1413" s="10"/>
      <c r="B1413" s="11"/>
      <c r="C1413" s="11"/>
      <c r="D1413" s="11"/>
      <c r="E1413" s="11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</row>
    <row r="1414" spans="1:19" s="9" customFormat="1" x14ac:dyDescent="0.25">
      <c r="A1414" s="10"/>
      <c r="B1414" s="11"/>
      <c r="C1414" s="11"/>
      <c r="D1414" s="11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</row>
    <row r="1415" spans="1:19" s="9" customFormat="1" x14ac:dyDescent="0.25">
      <c r="A1415" s="10"/>
      <c r="B1415" s="11"/>
      <c r="C1415" s="11"/>
      <c r="D1415" s="11"/>
      <c r="E1415" s="11"/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</row>
    <row r="1416" spans="1:19" s="9" customFormat="1" x14ac:dyDescent="0.25">
      <c r="A1416" s="10"/>
      <c r="B1416" s="11"/>
      <c r="C1416" s="11"/>
      <c r="D1416" s="11"/>
      <c r="E1416" s="11"/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</row>
    <row r="1417" spans="1:19" s="9" customFormat="1" x14ac:dyDescent="0.25">
      <c r="A1417" s="10"/>
      <c r="B1417" s="11"/>
      <c r="C1417" s="11"/>
      <c r="D1417" s="11"/>
      <c r="E1417" s="11"/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</row>
    <row r="1418" spans="1:19" s="9" customFormat="1" x14ac:dyDescent="0.25">
      <c r="A1418" s="10"/>
      <c r="B1418" s="11"/>
      <c r="C1418" s="11"/>
      <c r="D1418" s="11"/>
      <c r="E1418" s="11"/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</row>
    <row r="1419" spans="1:19" s="9" customFormat="1" x14ac:dyDescent="0.25">
      <c r="A1419" s="10"/>
      <c r="B1419" s="11"/>
      <c r="C1419" s="11"/>
      <c r="D1419" s="11"/>
      <c r="E1419" s="11"/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</row>
    <row r="1420" spans="1:19" s="9" customFormat="1" x14ac:dyDescent="0.25">
      <c r="A1420" s="10"/>
      <c r="B1420" s="11"/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</row>
    <row r="1421" spans="1:19" s="9" customFormat="1" x14ac:dyDescent="0.25">
      <c r="A1421" s="10"/>
      <c r="B1421" s="11"/>
      <c r="C1421" s="11"/>
      <c r="D1421" s="11"/>
      <c r="E1421" s="11"/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</row>
    <row r="1422" spans="1:19" s="9" customFormat="1" x14ac:dyDescent="0.25">
      <c r="A1422" s="10"/>
      <c r="B1422" s="11"/>
      <c r="C1422" s="11"/>
      <c r="D1422" s="11"/>
      <c r="E1422" s="11"/>
      <c r="F1422" s="11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1"/>
      <c r="S1422" s="11"/>
    </row>
    <row r="1423" spans="1:19" s="9" customFormat="1" x14ac:dyDescent="0.25">
      <c r="A1423" s="10"/>
      <c r="B1423" s="11"/>
      <c r="C1423" s="11"/>
      <c r="D1423" s="11"/>
      <c r="E1423" s="11"/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</row>
    <row r="1424" spans="1:19" s="9" customFormat="1" x14ac:dyDescent="0.25">
      <c r="A1424" s="10"/>
      <c r="B1424" s="11"/>
      <c r="C1424" s="11"/>
      <c r="D1424" s="11"/>
      <c r="E1424" s="11"/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</row>
    <row r="1425" spans="1:19" s="9" customFormat="1" x14ac:dyDescent="0.25">
      <c r="A1425" s="10"/>
      <c r="B1425" s="11"/>
      <c r="C1425" s="11"/>
      <c r="D1425" s="11"/>
      <c r="E1425" s="11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</row>
    <row r="1426" spans="1:19" s="9" customFormat="1" x14ac:dyDescent="0.25">
      <c r="A1426" s="10"/>
      <c r="B1426" s="11"/>
      <c r="C1426" s="11"/>
      <c r="D1426" s="11"/>
      <c r="E1426" s="11"/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</row>
    <row r="1427" spans="1:19" s="9" customFormat="1" x14ac:dyDescent="0.25">
      <c r="A1427" s="10"/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</row>
    <row r="1428" spans="1:19" s="9" customFormat="1" x14ac:dyDescent="0.25">
      <c r="A1428" s="10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</row>
    <row r="1429" spans="1:19" s="9" customFormat="1" x14ac:dyDescent="0.25">
      <c r="A1429" s="10"/>
      <c r="B1429" s="11"/>
      <c r="C1429" s="11"/>
      <c r="D1429" s="11"/>
      <c r="E1429" s="11"/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</row>
    <row r="1430" spans="1:19" s="9" customFormat="1" x14ac:dyDescent="0.25">
      <c r="A1430" s="10"/>
      <c r="B1430" s="11"/>
      <c r="C1430" s="11"/>
      <c r="D1430" s="11"/>
      <c r="E1430" s="11"/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</row>
    <row r="1431" spans="1:19" s="9" customFormat="1" x14ac:dyDescent="0.25">
      <c r="A1431" s="10"/>
      <c r="B1431" s="11"/>
      <c r="C1431" s="11"/>
      <c r="D1431" s="11"/>
      <c r="E1431" s="11"/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</row>
    <row r="1432" spans="1:19" s="9" customFormat="1" x14ac:dyDescent="0.25">
      <c r="A1432" s="10"/>
      <c r="B1432" s="11"/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</row>
    <row r="1433" spans="1:19" s="9" customFormat="1" x14ac:dyDescent="0.25">
      <c r="A1433" s="10"/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</row>
    <row r="1434" spans="1:19" s="9" customFormat="1" x14ac:dyDescent="0.25">
      <c r="A1434" s="10"/>
      <c r="B1434" s="11"/>
      <c r="C1434" s="11"/>
      <c r="D1434" s="11"/>
      <c r="E1434" s="11"/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  <c r="S1434" s="11"/>
    </row>
    <row r="1435" spans="1:19" s="9" customFormat="1" x14ac:dyDescent="0.25">
      <c r="A1435" s="10"/>
      <c r="B1435" s="11"/>
      <c r="C1435" s="11"/>
      <c r="D1435" s="11"/>
      <c r="E1435" s="11"/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</row>
    <row r="1436" spans="1:19" s="9" customFormat="1" x14ac:dyDescent="0.25">
      <c r="A1436" s="10"/>
      <c r="B1436" s="11"/>
      <c r="C1436" s="11"/>
      <c r="D1436" s="11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</row>
    <row r="1437" spans="1:19" s="9" customFormat="1" x14ac:dyDescent="0.25">
      <c r="A1437" s="10"/>
      <c r="B1437" s="11"/>
      <c r="C1437" s="11"/>
      <c r="D1437" s="11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</row>
    <row r="1438" spans="1:19" s="9" customFormat="1" x14ac:dyDescent="0.25">
      <c r="A1438" s="10"/>
      <c r="B1438" s="11"/>
      <c r="C1438" s="11"/>
      <c r="D1438" s="11"/>
      <c r="E1438" s="11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</row>
    <row r="1439" spans="1:19" s="9" customFormat="1" x14ac:dyDescent="0.25">
      <c r="A1439" s="10"/>
      <c r="B1439" s="11"/>
      <c r="C1439" s="11"/>
      <c r="D1439" s="11"/>
      <c r="E1439" s="11"/>
      <c r="F1439" s="11"/>
      <c r="G1439" s="11"/>
      <c r="H1439" s="11"/>
      <c r="I1439" s="11"/>
      <c r="J1439" s="11"/>
      <c r="K1439" s="11"/>
      <c r="L1439" s="11"/>
      <c r="M1439" s="11"/>
      <c r="N1439" s="11"/>
      <c r="O1439" s="11"/>
      <c r="P1439" s="11"/>
      <c r="Q1439" s="11"/>
      <c r="R1439" s="11"/>
      <c r="S1439" s="11"/>
    </row>
    <row r="1440" spans="1:19" s="9" customFormat="1" x14ac:dyDescent="0.25">
      <c r="A1440" s="10"/>
      <c r="B1440" s="11"/>
      <c r="C1440" s="11"/>
      <c r="D1440" s="11"/>
      <c r="E1440" s="11"/>
      <c r="F1440" s="11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  <c r="S1440" s="11"/>
    </row>
    <row r="1441" spans="1:19" s="9" customFormat="1" x14ac:dyDescent="0.25">
      <c r="A1441" s="10"/>
      <c r="B1441" s="11"/>
      <c r="C1441" s="11"/>
      <c r="D1441" s="11"/>
      <c r="E1441" s="11"/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</row>
    <row r="1442" spans="1:19" s="9" customFormat="1" x14ac:dyDescent="0.25">
      <c r="A1442" s="10"/>
      <c r="B1442" s="11"/>
      <c r="C1442" s="11"/>
      <c r="D1442" s="11"/>
      <c r="E1442" s="11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1"/>
    </row>
    <row r="1443" spans="1:19" s="9" customFormat="1" x14ac:dyDescent="0.25">
      <c r="A1443" s="10"/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1"/>
    </row>
    <row r="1444" spans="1:19" s="9" customFormat="1" x14ac:dyDescent="0.25">
      <c r="A1444" s="10"/>
      <c r="B1444" s="11"/>
      <c r="C1444" s="11"/>
      <c r="D1444" s="11"/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</row>
    <row r="1445" spans="1:19" s="9" customFormat="1" x14ac:dyDescent="0.25">
      <c r="A1445" s="10"/>
      <c r="B1445" s="11"/>
      <c r="C1445" s="11"/>
      <c r="D1445" s="11"/>
      <c r="E1445" s="11"/>
      <c r="F1445" s="11"/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1"/>
      <c r="S1445" s="11"/>
    </row>
    <row r="1446" spans="1:19" s="9" customFormat="1" x14ac:dyDescent="0.25">
      <c r="A1446" s="10"/>
      <c r="B1446" s="11"/>
      <c r="C1446" s="11"/>
      <c r="D1446" s="11"/>
      <c r="E1446" s="11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  <c r="S1446" s="11"/>
    </row>
    <row r="1447" spans="1:19" s="9" customFormat="1" x14ac:dyDescent="0.25">
      <c r="A1447" s="10"/>
      <c r="B1447" s="11"/>
      <c r="C1447" s="11"/>
      <c r="D1447" s="11"/>
      <c r="E1447" s="11"/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</row>
    <row r="1448" spans="1:19" s="9" customFormat="1" x14ac:dyDescent="0.25">
      <c r="A1448" s="10"/>
      <c r="B1448" s="11"/>
      <c r="C1448" s="11"/>
      <c r="D1448" s="11"/>
      <c r="E1448" s="11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  <c r="S1448" s="11"/>
    </row>
    <row r="1449" spans="1:19" s="9" customFormat="1" x14ac:dyDescent="0.25">
      <c r="A1449" s="10"/>
      <c r="B1449" s="11"/>
      <c r="C1449" s="11"/>
      <c r="D1449" s="11"/>
      <c r="E1449" s="11"/>
      <c r="F1449" s="11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/>
      <c r="S1449" s="11"/>
    </row>
    <row r="1450" spans="1:19" s="9" customFormat="1" x14ac:dyDescent="0.25">
      <c r="A1450" s="10"/>
      <c r="B1450" s="11"/>
      <c r="C1450" s="11"/>
      <c r="D1450" s="11"/>
      <c r="E1450" s="11"/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  <c r="S1450" s="11"/>
    </row>
    <row r="1451" spans="1:19" s="9" customFormat="1" x14ac:dyDescent="0.25">
      <c r="A1451" s="10"/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1"/>
    </row>
    <row r="1452" spans="1:19" s="9" customFormat="1" x14ac:dyDescent="0.25">
      <c r="A1452" s="10"/>
      <c r="B1452" s="11"/>
      <c r="C1452" s="11"/>
      <c r="D1452" s="11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1"/>
    </row>
    <row r="1453" spans="1:19" s="9" customFormat="1" x14ac:dyDescent="0.25">
      <c r="A1453" s="10"/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</row>
    <row r="1454" spans="1:19" s="9" customFormat="1" x14ac:dyDescent="0.25">
      <c r="A1454" s="10"/>
      <c r="B1454" s="11"/>
      <c r="C1454" s="11"/>
      <c r="D1454" s="11"/>
      <c r="E1454" s="11"/>
      <c r="F1454" s="11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11"/>
      <c r="S1454" s="11"/>
    </row>
    <row r="1455" spans="1:19" s="9" customFormat="1" x14ac:dyDescent="0.25">
      <c r="A1455" s="10"/>
      <c r="B1455" s="11"/>
      <c r="C1455" s="11"/>
      <c r="D1455" s="11"/>
      <c r="E1455" s="11"/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1"/>
      <c r="S1455" s="11"/>
    </row>
    <row r="1456" spans="1:19" s="9" customFormat="1" x14ac:dyDescent="0.25">
      <c r="A1456" s="10"/>
      <c r="B1456" s="11"/>
      <c r="C1456" s="11"/>
      <c r="D1456" s="11"/>
      <c r="E1456" s="11"/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1"/>
      <c r="S1456" s="11"/>
    </row>
    <row r="1457" spans="1:19" s="9" customFormat="1" x14ac:dyDescent="0.25">
      <c r="A1457" s="10"/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1"/>
    </row>
    <row r="1458" spans="1:19" s="9" customFormat="1" x14ac:dyDescent="0.25">
      <c r="A1458" s="10"/>
      <c r="B1458" s="11"/>
      <c r="C1458" s="11"/>
      <c r="D1458" s="11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1"/>
    </row>
    <row r="1459" spans="1:19" s="9" customFormat="1" x14ac:dyDescent="0.25">
      <c r="A1459" s="10"/>
      <c r="B1459" s="11"/>
      <c r="C1459" s="11"/>
      <c r="D1459" s="11"/>
      <c r="E1459" s="11"/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/>
      <c r="S1459" s="11"/>
    </row>
    <row r="1460" spans="1:19" s="9" customFormat="1" x14ac:dyDescent="0.25">
      <c r="A1460" s="10"/>
      <c r="B1460" s="11"/>
      <c r="C1460" s="11"/>
      <c r="D1460" s="11"/>
      <c r="E1460" s="11"/>
      <c r="F1460" s="11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1"/>
      <c r="S1460" s="11"/>
    </row>
    <row r="1461" spans="1:19" s="9" customFormat="1" x14ac:dyDescent="0.25">
      <c r="A1461" s="10"/>
      <c r="B1461" s="11"/>
      <c r="C1461" s="11"/>
      <c r="D1461" s="11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</row>
    <row r="1462" spans="1:19" s="9" customFormat="1" x14ac:dyDescent="0.25">
      <c r="A1462" s="10"/>
      <c r="B1462" s="11"/>
      <c r="C1462" s="11"/>
      <c r="D1462" s="11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1"/>
    </row>
    <row r="1463" spans="1:19" s="9" customFormat="1" x14ac:dyDescent="0.25">
      <c r="A1463" s="10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1"/>
    </row>
    <row r="1464" spans="1:19" s="9" customFormat="1" x14ac:dyDescent="0.25">
      <c r="A1464" s="10"/>
      <c r="B1464" s="11"/>
      <c r="C1464" s="11"/>
      <c r="D1464" s="11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1"/>
    </row>
    <row r="1465" spans="1:19" s="9" customFormat="1" x14ac:dyDescent="0.25">
      <c r="A1465" s="10"/>
      <c r="B1465" s="11"/>
      <c r="C1465" s="11"/>
      <c r="D1465" s="11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</row>
    <row r="1466" spans="1:19" s="9" customFormat="1" x14ac:dyDescent="0.25">
      <c r="A1466" s="10"/>
      <c r="B1466" s="11"/>
      <c r="C1466" s="11"/>
      <c r="D1466" s="11"/>
      <c r="E1466" s="11"/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1"/>
      <c r="S1466" s="11"/>
    </row>
    <row r="1467" spans="1:19" s="9" customFormat="1" x14ac:dyDescent="0.25">
      <c r="A1467" s="10"/>
      <c r="B1467" s="11"/>
      <c r="C1467" s="11"/>
      <c r="D1467" s="11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1"/>
    </row>
    <row r="1468" spans="1:19" s="9" customFormat="1" x14ac:dyDescent="0.25">
      <c r="A1468" s="10"/>
      <c r="B1468" s="11"/>
      <c r="C1468" s="11"/>
      <c r="D1468" s="11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</row>
    <row r="1469" spans="1:19" s="9" customFormat="1" x14ac:dyDescent="0.25">
      <c r="A1469" s="10"/>
      <c r="B1469" s="11"/>
      <c r="C1469" s="11"/>
      <c r="D1469" s="11"/>
      <c r="E1469" s="11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</row>
    <row r="1470" spans="1:19" s="9" customFormat="1" x14ac:dyDescent="0.25">
      <c r="A1470" s="10"/>
      <c r="B1470" s="11"/>
      <c r="C1470" s="11"/>
      <c r="D1470" s="11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1"/>
    </row>
    <row r="1471" spans="1:19" s="9" customFormat="1" x14ac:dyDescent="0.25">
      <c r="A1471" s="10"/>
      <c r="B1471" s="11"/>
      <c r="C1471" s="11"/>
      <c r="D1471" s="11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1"/>
    </row>
    <row r="1472" spans="1:19" s="9" customFormat="1" x14ac:dyDescent="0.25">
      <c r="A1472" s="10"/>
      <c r="B1472" s="11"/>
      <c r="C1472" s="11"/>
      <c r="D1472" s="11"/>
      <c r="E1472" s="11"/>
      <c r="F1472" s="11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11"/>
      <c r="S1472" s="11"/>
    </row>
    <row r="1473" spans="1:19" s="9" customFormat="1" x14ac:dyDescent="0.25">
      <c r="A1473" s="10"/>
      <c r="B1473" s="11"/>
      <c r="C1473" s="11"/>
      <c r="D1473" s="11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1"/>
    </row>
    <row r="1474" spans="1:19" s="9" customFormat="1" x14ac:dyDescent="0.25">
      <c r="A1474" s="10"/>
      <c r="B1474" s="11"/>
      <c r="C1474" s="11"/>
      <c r="D1474" s="11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1"/>
    </row>
    <row r="1475" spans="1:19" s="9" customFormat="1" x14ac:dyDescent="0.25">
      <c r="A1475" s="10"/>
      <c r="B1475" s="11"/>
      <c r="C1475" s="11"/>
      <c r="D1475" s="11"/>
      <c r="E1475" s="11"/>
      <c r="F1475" s="11"/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  <c r="R1475" s="11"/>
      <c r="S1475" s="11"/>
    </row>
    <row r="1476" spans="1:19" s="9" customFormat="1" x14ac:dyDescent="0.25">
      <c r="A1476" s="10"/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</row>
    <row r="1477" spans="1:19" s="9" customFormat="1" x14ac:dyDescent="0.25">
      <c r="A1477" s="10"/>
      <c r="B1477" s="11"/>
      <c r="C1477" s="11"/>
      <c r="D1477" s="11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1"/>
    </row>
    <row r="1478" spans="1:19" s="9" customFormat="1" x14ac:dyDescent="0.25">
      <c r="A1478" s="10"/>
      <c r="B1478" s="11"/>
      <c r="C1478" s="11"/>
      <c r="D1478" s="11"/>
      <c r="E1478" s="11"/>
      <c r="F1478" s="11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1"/>
      <c r="S1478" s="11"/>
    </row>
    <row r="1479" spans="1:19" s="9" customFormat="1" x14ac:dyDescent="0.25">
      <c r="A1479" s="10"/>
      <c r="B1479" s="11"/>
      <c r="C1479" s="11"/>
      <c r="D1479" s="11"/>
      <c r="E1479" s="11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1"/>
    </row>
    <row r="1480" spans="1:19" s="9" customFormat="1" x14ac:dyDescent="0.25">
      <c r="A1480" s="10"/>
      <c r="B1480" s="11"/>
      <c r="C1480" s="11"/>
      <c r="D1480" s="11"/>
      <c r="E1480" s="11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</row>
    <row r="1481" spans="1:19" s="9" customFormat="1" x14ac:dyDescent="0.25">
      <c r="A1481" s="10"/>
      <c r="B1481" s="11"/>
      <c r="C1481" s="11"/>
      <c r="D1481" s="11"/>
      <c r="E1481" s="11"/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1"/>
      <c r="S1481" s="11"/>
    </row>
    <row r="1482" spans="1:19" s="9" customFormat="1" x14ac:dyDescent="0.25">
      <c r="A1482" s="10"/>
      <c r="B1482" s="11"/>
      <c r="C1482" s="11"/>
      <c r="D1482" s="11"/>
      <c r="E1482" s="11"/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1"/>
      <c r="S1482" s="11"/>
    </row>
    <row r="1483" spans="1:19" s="9" customFormat="1" x14ac:dyDescent="0.25">
      <c r="A1483" s="10"/>
      <c r="B1483" s="11"/>
      <c r="C1483" s="11"/>
      <c r="D1483" s="11"/>
      <c r="E1483" s="11"/>
      <c r="F1483" s="11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1"/>
      <c r="S1483" s="11"/>
    </row>
    <row r="1484" spans="1:19" s="9" customFormat="1" x14ac:dyDescent="0.25">
      <c r="A1484" s="10"/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</row>
    <row r="1485" spans="1:19" s="9" customFormat="1" x14ac:dyDescent="0.25">
      <c r="A1485" s="10"/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1"/>
      <c r="S1485" s="11"/>
    </row>
    <row r="1486" spans="1:19" s="9" customFormat="1" x14ac:dyDescent="0.25">
      <c r="A1486" s="10"/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1"/>
      <c r="S1486" s="11"/>
    </row>
    <row r="1487" spans="1:19" s="9" customFormat="1" x14ac:dyDescent="0.25">
      <c r="A1487" s="10"/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  <c r="S1487" s="11"/>
    </row>
    <row r="1488" spans="1:19" s="9" customFormat="1" x14ac:dyDescent="0.25">
      <c r="A1488" s="10"/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  <c r="S1488" s="11"/>
    </row>
    <row r="1489" spans="1:19" s="9" customFormat="1" x14ac:dyDescent="0.25">
      <c r="A1489" s="10"/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</row>
    <row r="1490" spans="1:19" s="9" customFormat="1" x14ac:dyDescent="0.25">
      <c r="A1490" s="10"/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1"/>
      <c r="S1490" s="11"/>
    </row>
    <row r="1491" spans="1:19" s="9" customFormat="1" x14ac:dyDescent="0.25">
      <c r="A1491" s="10"/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</row>
    <row r="1492" spans="1:19" s="9" customFormat="1" x14ac:dyDescent="0.25">
      <c r="A1492" s="10"/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  <c r="S1492" s="11"/>
    </row>
    <row r="1493" spans="1:19" s="9" customFormat="1" x14ac:dyDescent="0.25">
      <c r="A1493" s="10"/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1"/>
      <c r="S1493" s="11"/>
    </row>
    <row r="1494" spans="1:19" s="9" customFormat="1" x14ac:dyDescent="0.25">
      <c r="A1494" s="10"/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</row>
    <row r="1495" spans="1:19" s="9" customFormat="1" x14ac:dyDescent="0.25">
      <c r="A1495" s="10"/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</row>
    <row r="1496" spans="1:19" s="9" customFormat="1" x14ac:dyDescent="0.25">
      <c r="A1496" s="10"/>
      <c r="B1496" s="11"/>
      <c r="C1496" s="11"/>
      <c r="D1496" s="11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</row>
    <row r="1497" spans="1:19" s="9" customFormat="1" x14ac:dyDescent="0.25">
      <c r="A1497" s="10"/>
      <c r="B1497" s="11"/>
      <c r="C1497" s="11"/>
      <c r="D1497" s="11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</row>
    <row r="1498" spans="1:19" s="9" customFormat="1" x14ac:dyDescent="0.25">
      <c r="A1498" s="10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1"/>
      <c r="S1498" s="11"/>
    </row>
    <row r="1499" spans="1:19" s="9" customFormat="1" x14ac:dyDescent="0.25">
      <c r="A1499" s="10"/>
      <c r="B1499" s="11"/>
      <c r="C1499" s="11"/>
      <c r="D1499" s="11"/>
      <c r="E1499" s="11"/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  <c r="S1499" s="11"/>
    </row>
    <row r="1500" spans="1:19" s="9" customFormat="1" x14ac:dyDescent="0.25">
      <c r="A1500" s="10"/>
      <c r="B1500" s="11"/>
      <c r="C1500" s="11"/>
      <c r="D1500" s="11"/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</row>
    <row r="1501" spans="1:19" s="9" customFormat="1" x14ac:dyDescent="0.25">
      <c r="A1501" s="10"/>
      <c r="B1501" s="11"/>
      <c r="C1501" s="11"/>
      <c r="D1501" s="11"/>
      <c r="E1501" s="11"/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</row>
    <row r="1502" spans="1:19" s="9" customFormat="1" x14ac:dyDescent="0.25">
      <c r="A1502" s="10"/>
      <c r="B1502" s="11"/>
      <c r="C1502" s="11"/>
      <c r="D1502" s="11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</row>
    <row r="1503" spans="1:19" s="9" customFormat="1" x14ac:dyDescent="0.25">
      <c r="A1503" s="10"/>
      <c r="B1503" s="11"/>
      <c r="C1503" s="11"/>
      <c r="D1503" s="11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</row>
    <row r="1504" spans="1:19" s="9" customFormat="1" x14ac:dyDescent="0.25">
      <c r="A1504" s="10"/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</row>
    <row r="1505" spans="1:19" s="9" customFormat="1" x14ac:dyDescent="0.25">
      <c r="A1505" s="10"/>
      <c r="B1505" s="11"/>
      <c r="C1505" s="11"/>
      <c r="D1505" s="11"/>
      <c r="E1505" s="11"/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  <c r="S1505" s="11"/>
    </row>
    <row r="1506" spans="1:19" s="9" customFormat="1" x14ac:dyDescent="0.25">
      <c r="A1506" s="10"/>
      <c r="B1506" s="11"/>
      <c r="C1506" s="11"/>
      <c r="D1506" s="11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</row>
    <row r="1507" spans="1:19" s="9" customFormat="1" x14ac:dyDescent="0.25">
      <c r="A1507" s="10"/>
      <c r="B1507" s="11"/>
      <c r="C1507" s="11"/>
      <c r="D1507" s="11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</row>
    <row r="1508" spans="1:19" s="9" customFormat="1" x14ac:dyDescent="0.25">
      <c r="A1508" s="10"/>
      <c r="B1508" s="11"/>
      <c r="C1508" s="11"/>
      <c r="D1508" s="11"/>
      <c r="E1508" s="11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</row>
    <row r="1509" spans="1:19" s="9" customFormat="1" x14ac:dyDescent="0.25">
      <c r="A1509" s="10"/>
      <c r="B1509" s="11"/>
      <c r="C1509" s="11"/>
      <c r="D1509" s="11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</row>
    <row r="1510" spans="1:19" s="9" customFormat="1" x14ac:dyDescent="0.25">
      <c r="A1510" s="10"/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</row>
    <row r="1511" spans="1:19" s="9" customFormat="1" x14ac:dyDescent="0.25">
      <c r="A1511" s="10"/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</row>
    <row r="1512" spans="1:19" s="9" customFormat="1" x14ac:dyDescent="0.25">
      <c r="A1512" s="10"/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</row>
    <row r="1513" spans="1:19" s="9" customFormat="1" x14ac:dyDescent="0.25">
      <c r="A1513" s="10"/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</row>
    <row r="1514" spans="1:19" s="9" customFormat="1" x14ac:dyDescent="0.25">
      <c r="A1514" s="10"/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</row>
    <row r="1515" spans="1:19" s="9" customFormat="1" x14ac:dyDescent="0.25">
      <c r="A1515" s="10"/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</row>
    <row r="1516" spans="1:19" s="9" customFormat="1" x14ac:dyDescent="0.25">
      <c r="A1516" s="10"/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</row>
    <row r="1517" spans="1:19" s="9" customFormat="1" x14ac:dyDescent="0.25">
      <c r="A1517" s="10"/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</row>
    <row r="1518" spans="1:19" s="9" customFormat="1" x14ac:dyDescent="0.25">
      <c r="A1518" s="10"/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</row>
    <row r="1519" spans="1:19" s="9" customFormat="1" x14ac:dyDescent="0.25">
      <c r="A1519" s="10"/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</row>
    <row r="1520" spans="1:19" s="9" customFormat="1" x14ac:dyDescent="0.25">
      <c r="A1520" s="10"/>
      <c r="B1520" s="11"/>
      <c r="C1520" s="11"/>
      <c r="D1520" s="11"/>
      <c r="E1520" s="11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</row>
    <row r="1521" spans="1:19" s="9" customFormat="1" x14ac:dyDescent="0.25">
      <c r="A1521" s="10"/>
      <c r="B1521" s="11"/>
      <c r="C1521" s="11"/>
      <c r="D1521" s="11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</row>
    <row r="1522" spans="1:19" s="9" customFormat="1" x14ac:dyDescent="0.25">
      <c r="A1522" s="10"/>
      <c r="B1522" s="11"/>
      <c r="C1522" s="11"/>
      <c r="D1522" s="11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</row>
    <row r="1523" spans="1:19" s="9" customFormat="1" x14ac:dyDescent="0.25">
      <c r="A1523" s="10"/>
      <c r="B1523" s="11"/>
      <c r="C1523" s="11"/>
      <c r="D1523" s="11"/>
      <c r="E1523" s="11"/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</row>
    <row r="1524" spans="1:19" s="9" customFormat="1" x14ac:dyDescent="0.25">
      <c r="A1524" s="10"/>
      <c r="B1524" s="11"/>
      <c r="C1524" s="11"/>
      <c r="D1524" s="11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</row>
    <row r="1525" spans="1:19" s="9" customFormat="1" x14ac:dyDescent="0.25">
      <c r="A1525" s="10"/>
      <c r="B1525" s="11"/>
      <c r="C1525" s="11"/>
      <c r="D1525" s="11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</row>
    <row r="1526" spans="1:19" s="9" customFormat="1" x14ac:dyDescent="0.25">
      <c r="A1526" s="10"/>
      <c r="B1526" s="11"/>
      <c r="C1526" s="11"/>
      <c r="D1526" s="11"/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</row>
    <row r="1527" spans="1:19" s="9" customFormat="1" x14ac:dyDescent="0.25">
      <c r="A1527" s="10"/>
      <c r="B1527" s="11"/>
      <c r="C1527" s="11"/>
      <c r="D1527" s="11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1"/>
    </row>
    <row r="1528" spans="1:19" s="9" customFormat="1" x14ac:dyDescent="0.25">
      <c r="A1528" s="10"/>
      <c r="B1528" s="11"/>
      <c r="C1528" s="11"/>
      <c r="D1528" s="11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1"/>
    </row>
    <row r="1529" spans="1:19" s="9" customFormat="1" x14ac:dyDescent="0.25">
      <c r="A1529" s="10"/>
      <c r="B1529" s="11"/>
      <c r="C1529" s="11"/>
      <c r="D1529" s="11"/>
      <c r="E1529" s="11"/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  <c r="S1529" s="11"/>
    </row>
    <row r="1530" spans="1:19" s="9" customFormat="1" x14ac:dyDescent="0.25">
      <c r="A1530" s="10"/>
      <c r="B1530" s="11"/>
      <c r="C1530" s="11"/>
      <c r="D1530" s="11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1"/>
    </row>
    <row r="1531" spans="1:19" s="9" customFormat="1" x14ac:dyDescent="0.25">
      <c r="A1531" s="10"/>
      <c r="B1531" s="11"/>
      <c r="C1531" s="11"/>
      <c r="D1531" s="11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1"/>
    </row>
    <row r="1532" spans="1:19" s="9" customFormat="1" x14ac:dyDescent="0.25">
      <c r="A1532" s="10"/>
      <c r="B1532" s="11"/>
      <c r="C1532" s="11"/>
      <c r="D1532" s="11"/>
      <c r="E1532" s="11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</row>
    <row r="1533" spans="1:19" s="9" customFormat="1" x14ac:dyDescent="0.25">
      <c r="A1533" s="10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1"/>
    </row>
    <row r="1534" spans="1:19" s="9" customFormat="1" x14ac:dyDescent="0.25">
      <c r="A1534" s="10"/>
      <c r="B1534" s="11"/>
      <c r="C1534" s="11"/>
      <c r="D1534" s="11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</row>
    <row r="1535" spans="1:19" s="9" customFormat="1" x14ac:dyDescent="0.25">
      <c r="A1535" s="10"/>
      <c r="B1535" s="11"/>
      <c r="C1535" s="11"/>
      <c r="D1535" s="11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</row>
    <row r="1536" spans="1:19" s="9" customFormat="1" x14ac:dyDescent="0.25">
      <c r="A1536" s="10"/>
      <c r="B1536" s="11"/>
      <c r="C1536" s="11"/>
      <c r="D1536" s="11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1"/>
    </row>
    <row r="1537" spans="1:19" s="9" customFormat="1" x14ac:dyDescent="0.25">
      <c r="A1537" s="10"/>
      <c r="B1537" s="11"/>
      <c r="C1537" s="11"/>
      <c r="D1537" s="11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1"/>
    </row>
    <row r="1538" spans="1:19" s="9" customFormat="1" x14ac:dyDescent="0.25">
      <c r="A1538" s="10"/>
      <c r="B1538" s="11"/>
      <c r="C1538" s="11"/>
      <c r="D1538" s="11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</row>
    <row r="1539" spans="1:19" s="9" customFormat="1" x14ac:dyDescent="0.25">
      <c r="A1539" s="10"/>
      <c r="B1539" s="11"/>
      <c r="C1539" s="11"/>
      <c r="D1539" s="11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</row>
    <row r="1540" spans="1:19" s="9" customFormat="1" x14ac:dyDescent="0.25">
      <c r="A1540" s="10"/>
      <c r="B1540" s="11"/>
      <c r="C1540" s="11"/>
      <c r="D1540" s="11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</row>
    <row r="1541" spans="1:19" s="9" customFormat="1" x14ac:dyDescent="0.25">
      <c r="A1541" s="10"/>
      <c r="B1541" s="11"/>
      <c r="C1541" s="11"/>
      <c r="D1541" s="11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1"/>
    </row>
    <row r="1542" spans="1:19" s="9" customFormat="1" x14ac:dyDescent="0.25">
      <c r="A1542" s="10"/>
      <c r="B1542" s="11"/>
      <c r="C1542" s="11"/>
      <c r="D1542" s="11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</row>
    <row r="1543" spans="1:19" s="9" customFormat="1" x14ac:dyDescent="0.25">
      <c r="A1543" s="10"/>
      <c r="B1543" s="11"/>
      <c r="C1543" s="11"/>
      <c r="D1543" s="11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</row>
    <row r="1544" spans="1:19" s="9" customFormat="1" x14ac:dyDescent="0.25">
      <c r="A1544" s="10"/>
      <c r="B1544" s="11"/>
      <c r="C1544" s="11"/>
      <c r="D1544" s="11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1"/>
    </row>
    <row r="1545" spans="1:19" s="9" customFormat="1" x14ac:dyDescent="0.25">
      <c r="A1545" s="10"/>
      <c r="B1545" s="11"/>
      <c r="C1545" s="11"/>
      <c r="D1545" s="11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1"/>
    </row>
    <row r="1546" spans="1:19" s="9" customFormat="1" x14ac:dyDescent="0.25">
      <c r="A1546" s="10"/>
      <c r="B1546" s="11"/>
      <c r="C1546" s="11"/>
      <c r="D1546" s="11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</row>
    <row r="1547" spans="1:19" s="9" customFormat="1" x14ac:dyDescent="0.25">
      <c r="A1547" s="10"/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</row>
    <row r="1548" spans="1:19" s="9" customFormat="1" x14ac:dyDescent="0.25">
      <c r="A1548" s="10"/>
      <c r="B1548" s="11"/>
      <c r="C1548" s="11"/>
      <c r="D1548" s="11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</row>
    <row r="1549" spans="1:19" s="9" customFormat="1" x14ac:dyDescent="0.25">
      <c r="A1549" s="10"/>
      <c r="B1549" s="11"/>
      <c r="C1549" s="11"/>
      <c r="D1549" s="11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</row>
    <row r="1550" spans="1:19" s="9" customFormat="1" x14ac:dyDescent="0.25">
      <c r="A1550" s="10"/>
      <c r="B1550" s="11"/>
      <c r="C1550" s="11"/>
      <c r="D1550" s="11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1"/>
    </row>
    <row r="1551" spans="1:19" s="9" customFormat="1" x14ac:dyDescent="0.25">
      <c r="A1551" s="10"/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</row>
    <row r="1552" spans="1:19" s="9" customFormat="1" x14ac:dyDescent="0.25">
      <c r="A1552" s="10"/>
      <c r="B1552" s="11"/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</row>
    <row r="1553" spans="1:19" s="9" customFormat="1" x14ac:dyDescent="0.25">
      <c r="A1553" s="10"/>
      <c r="B1553" s="11"/>
      <c r="C1553" s="11"/>
      <c r="D1553" s="11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</row>
    <row r="1554" spans="1:19" s="9" customFormat="1" x14ac:dyDescent="0.25">
      <c r="A1554" s="10"/>
      <c r="B1554" s="11"/>
      <c r="C1554" s="11"/>
      <c r="D1554" s="11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</row>
    <row r="1555" spans="1:19" s="9" customFormat="1" x14ac:dyDescent="0.25">
      <c r="A1555" s="10"/>
      <c r="B1555" s="11"/>
      <c r="C1555" s="11"/>
      <c r="D1555" s="11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1"/>
    </row>
    <row r="1556" spans="1:19" s="9" customFormat="1" x14ac:dyDescent="0.25">
      <c r="A1556" s="10"/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</row>
    <row r="1557" spans="1:19" s="9" customFormat="1" x14ac:dyDescent="0.25">
      <c r="A1557" s="10"/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</row>
    <row r="1558" spans="1:19" s="9" customFormat="1" x14ac:dyDescent="0.25">
      <c r="A1558" s="10"/>
      <c r="B1558" s="11"/>
      <c r="C1558" s="11"/>
      <c r="D1558" s="11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</row>
    <row r="1559" spans="1:19" s="9" customFormat="1" x14ac:dyDescent="0.25">
      <c r="A1559" s="10"/>
      <c r="B1559" s="11"/>
      <c r="C1559" s="11"/>
      <c r="D1559" s="11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</row>
    <row r="1560" spans="1:19" s="9" customFormat="1" x14ac:dyDescent="0.25">
      <c r="A1560" s="10"/>
      <c r="B1560" s="11"/>
      <c r="C1560" s="11"/>
      <c r="D1560" s="11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1"/>
    </row>
    <row r="1561" spans="1:19" s="9" customFormat="1" x14ac:dyDescent="0.25">
      <c r="A1561" s="10"/>
      <c r="B1561" s="11"/>
      <c r="C1561" s="11"/>
      <c r="D1561" s="11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</row>
    <row r="1562" spans="1:19" s="9" customFormat="1" x14ac:dyDescent="0.25">
      <c r="A1562" s="10"/>
      <c r="B1562" s="11"/>
      <c r="C1562" s="11"/>
      <c r="D1562" s="11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1"/>
    </row>
    <row r="1563" spans="1:19" s="9" customFormat="1" x14ac:dyDescent="0.25">
      <c r="A1563" s="10"/>
      <c r="B1563" s="11"/>
      <c r="C1563" s="11"/>
      <c r="D1563" s="11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</row>
    <row r="1564" spans="1:19" s="9" customFormat="1" x14ac:dyDescent="0.25">
      <c r="A1564" s="10"/>
      <c r="B1564" s="11"/>
      <c r="C1564" s="11"/>
      <c r="D1564" s="11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</row>
    <row r="1565" spans="1:19" s="9" customFormat="1" x14ac:dyDescent="0.25">
      <c r="A1565" s="10"/>
      <c r="B1565" s="11"/>
      <c r="C1565" s="11"/>
      <c r="D1565" s="11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</row>
    <row r="1566" spans="1:19" s="9" customFormat="1" x14ac:dyDescent="0.25">
      <c r="A1566" s="10"/>
      <c r="B1566" s="11"/>
      <c r="C1566" s="11"/>
      <c r="D1566" s="11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1"/>
    </row>
    <row r="1567" spans="1:19" s="9" customFormat="1" x14ac:dyDescent="0.25">
      <c r="A1567" s="10"/>
      <c r="B1567" s="11"/>
      <c r="C1567" s="11"/>
      <c r="D1567" s="11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</row>
    <row r="1568" spans="1:19" s="9" customFormat="1" x14ac:dyDescent="0.25">
      <c r="A1568" s="10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</row>
    <row r="1569" spans="1:19" s="9" customFormat="1" x14ac:dyDescent="0.25">
      <c r="A1569" s="10"/>
      <c r="B1569" s="11"/>
      <c r="C1569" s="11"/>
      <c r="D1569" s="11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</row>
    <row r="1570" spans="1:19" s="9" customFormat="1" x14ac:dyDescent="0.25">
      <c r="A1570" s="10"/>
      <c r="B1570" s="11"/>
      <c r="C1570" s="11"/>
      <c r="D1570" s="11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</row>
    <row r="1571" spans="1:19" s="9" customFormat="1" x14ac:dyDescent="0.25">
      <c r="A1571" s="10"/>
      <c r="B1571" s="11"/>
      <c r="C1571" s="11"/>
      <c r="D1571" s="11"/>
      <c r="E1571" s="11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  <c r="S1571" s="11"/>
    </row>
    <row r="1572" spans="1:19" s="9" customFormat="1" x14ac:dyDescent="0.25">
      <c r="A1572" s="10"/>
      <c r="B1572" s="11"/>
      <c r="C1572" s="11"/>
      <c r="D1572" s="11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</row>
    <row r="1573" spans="1:19" s="9" customFormat="1" x14ac:dyDescent="0.25">
      <c r="A1573" s="10"/>
      <c r="B1573" s="11"/>
      <c r="C1573" s="11"/>
      <c r="D1573" s="11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1"/>
    </row>
    <row r="1574" spans="1:19" s="9" customFormat="1" x14ac:dyDescent="0.25">
      <c r="A1574" s="10"/>
      <c r="B1574" s="11"/>
      <c r="C1574" s="11"/>
      <c r="D1574" s="11"/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</row>
    <row r="1575" spans="1:19" s="9" customFormat="1" x14ac:dyDescent="0.25">
      <c r="A1575" s="10"/>
      <c r="B1575" s="11"/>
      <c r="C1575" s="11"/>
      <c r="D1575" s="11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</row>
    <row r="1576" spans="1:19" s="9" customFormat="1" x14ac:dyDescent="0.25">
      <c r="A1576" s="10"/>
      <c r="B1576" s="11"/>
      <c r="C1576" s="11"/>
      <c r="D1576" s="11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</row>
    <row r="1577" spans="1:19" s="9" customFormat="1" x14ac:dyDescent="0.25">
      <c r="A1577" s="10"/>
      <c r="B1577" s="11"/>
      <c r="C1577" s="11"/>
      <c r="D1577" s="11"/>
      <c r="E1577" s="11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  <c r="S1577" s="11"/>
    </row>
    <row r="1578" spans="1:19" s="9" customFormat="1" x14ac:dyDescent="0.25">
      <c r="A1578" s="10"/>
      <c r="B1578" s="11"/>
      <c r="C1578" s="11"/>
      <c r="D1578" s="11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</row>
    <row r="1579" spans="1:19" s="9" customFormat="1" x14ac:dyDescent="0.25">
      <c r="A1579" s="10"/>
      <c r="B1579" s="11"/>
      <c r="C1579" s="11"/>
      <c r="D1579" s="11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</row>
    <row r="1580" spans="1:19" s="9" customFormat="1" x14ac:dyDescent="0.25">
      <c r="A1580" s="10"/>
      <c r="B1580" s="11"/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</row>
    <row r="1581" spans="1:19" s="9" customFormat="1" x14ac:dyDescent="0.25">
      <c r="A1581" s="10"/>
      <c r="B1581" s="11"/>
      <c r="C1581" s="11"/>
      <c r="D1581" s="11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1"/>
    </row>
    <row r="1582" spans="1:19" s="9" customFormat="1" x14ac:dyDescent="0.25">
      <c r="A1582" s="10"/>
      <c r="B1582" s="11"/>
      <c r="C1582" s="11"/>
      <c r="D1582" s="11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</row>
    <row r="1583" spans="1:19" s="9" customFormat="1" x14ac:dyDescent="0.25">
      <c r="A1583" s="10"/>
      <c r="B1583" s="11"/>
      <c r="C1583" s="11"/>
      <c r="D1583" s="11"/>
      <c r="E1583" s="11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</row>
    <row r="1584" spans="1:19" s="9" customFormat="1" x14ac:dyDescent="0.25">
      <c r="A1584" s="10"/>
      <c r="B1584" s="11"/>
      <c r="C1584" s="11"/>
      <c r="D1584" s="11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1"/>
    </row>
    <row r="1585" spans="1:19" s="9" customFormat="1" x14ac:dyDescent="0.25">
      <c r="A1585" s="10"/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</row>
    <row r="1586" spans="1:19" s="9" customFormat="1" x14ac:dyDescent="0.25">
      <c r="A1586" s="10"/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</row>
    <row r="1587" spans="1:19" s="9" customFormat="1" x14ac:dyDescent="0.25">
      <c r="A1587" s="10"/>
      <c r="B1587" s="11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</row>
    <row r="1588" spans="1:19" s="9" customFormat="1" x14ac:dyDescent="0.25">
      <c r="A1588" s="10"/>
      <c r="B1588" s="11"/>
      <c r="C1588" s="11"/>
      <c r="D1588" s="11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</row>
    <row r="1589" spans="1:19" s="9" customFormat="1" x14ac:dyDescent="0.25">
      <c r="A1589" s="10"/>
      <c r="B1589" s="11"/>
      <c r="C1589" s="11"/>
      <c r="D1589" s="11"/>
      <c r="E1589" s="11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</row>
    <row r="1590" spans="1:19" s="9" customFormat="1" x14ac:dyDescent="0.25">
      <c r="A1590" s="10"/>
      <c r="B1590" s="11"/>
      <c r="C1590" s="11"/>
      <c r="D1590" s="11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</row>
    <row r="1591" spans="1:19" s="9" customFormat="1" x14ac:dyDescent="0.25">
      <c r="A1591" s="10"/>
      <c r="B1591" s="11"/>
      <c r="C1591" s="11"/>
      <c r="D1591" s="11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</row>
    <row r="1592" spans="1:19" s="9" customFormat="1" x14ac:dyDescent="0.25">
      <c r="A1592" s="10"/>
      <c r="B1592" s="11"/>
      <c r="C1592" s="11"/>
      <c r="D1592" s="11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</row>
    <row r="1593" spans="1:19" s="9" customFormat="1" x14ac:dyDescent="0.25">
      <c r="A1593" s="10"/>
      <c r="B1593" s="11"/>
      <c r="C1593" s="11"/>
      <c r="D1593" s="11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1"/>
    </row>
    <row r="1594" spans="1:19" s="9" customFormat="1" x14ac:dyDescent="0.25">
      <c r="A1594" s="10"/>
      <c r="B1594" s="11"/>
      <c r="C1594" s="11"/>
      <c r="D1594" s="11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</row>
    <row r="1595" spans="1:19" s="9" customFormat="1" x14ac:dyDescent="0.25">
      <c r="A1595" s="10"/>
      <c r="B1595" s="11"/>
      <c r="C1595" s="11"/>
      <c r="D1595" s="11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1"/>
    </row>
    <row r="1596" spans="1:19" s="9" customFormat="1" x14ac:dyDescent="0.25">
      <c r="A1596" s="10"/>
      <c r="B1596" s="11"/>
      <c r="C1596" s="11"/>
      <c r="D1596" s="11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1"/>
    </row>
    <row r="1597" spans="1:19" s="9" customFormat="1" x14ac:dyDescent="0.25">
      <c r="A1597" s="10"/>
      <c r="B1597" s="11"/>
      <c r="C1597" s="11"/>
      <c r="D1597" s="11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1"/>
    </row>
    <row r="1598" spans="1:19" s="9" customFormat="1" x14ac:dyDescent="0.25">
      <c r="A1598" s="10"/>
      <c r="B1598" s="11"/>
      <c r="C1598" s="11"/>
      <c r="D1598" s="11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</row>
    <row r="1599" spans="1:19" s="9" customFormat="1" x14ac:dyDescent="0.25">
      <c r="A1599" s="10"/>
      <c r="B1599" s="11"/>
      <c r="C1599" s="11"/>
      <c r="D1599" s="11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</row>
    <row r="1600" spans="1:19" s="9" customFormat="1" x14ac:dyDescent="0.25">
      <c r="A1600" s="10"/>
      <c r="B1600" s="11"/>
      <c r="C1600" s="11"/>
      <c r="D1600" s="11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</row>
    <row r="1601" spans="1:19" s="9" customFormat="1" x14ac:dyDescent="0.25">
      <c r="A1601" s="10"/>
      <c r="B1601" s="11"/>
      <c r="C1601" s="11"/>
      <c r="D1601" s="11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</row>
    <row r="1602" spans="1:19" s="9" customFormat="1" x14ac:dyDescent="0.25">
      <c r="A1602" s="10"/>
      <c r="B1602" s="11"/>
      <c r="C1602" s="11"/>
      <c r="D1602" s="11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</row>
    <row r="1603" spans="1:19" s="9" customFormat="1" x14ac:dyDescent="0.25">
      <c r="A1603" s="10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</row>
    <row r="1604" spans="1:19" s="9" customFormat="1" x14ac:dyDescent="0.25">
      <c r="A1604" s="10"/>
      <c r="B1604" s="11"/>
      <c r="C1604" s="11"/>
      <c r="D1604" s="11"/>
      <c r="E1604" s="11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</row>
    <row r="1605" spans="1:19" s="9" customFormat="1" x14ac:dyDescent="0.25">
      <c r="A1605" s="10"/>
      <c r="B1605" s="11"/>
      <c r="C1605" s="11"/>
      <c r="D1605" s="11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</row>
    <row r="1606" spans="1:19" s="9" customFormat="1" x14ac:dyDescent="0.25">
      <c r="A1606" s="10"/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</row>
    <row r="1607" spans="1:19" s="9" customFormat="1" x14ac:dyDescent="0.25">
      <c r="A1607" s="10"/>
      <c r="B1607" s="11"/>
      <c r="C1607" s="11"/>
      <c r="D1607" s="11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1"/>
    </row>
    <row r="1608" spans="1:19" s="9" customFormat="1" x14ac:dyDescent="0.25">
      <c r="A1608" s="10"/>
      <c r="B1608" s="11"/>
      <c r="C1608" s="11"/>
      <c r="D1608" s="11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1"/>
    </row>
    <row r="1609" spans="1:19" s="9" customFormat="1" x14ac:dyDescent="0.25">
      <c r="A1609" s="10"/>
      <c r="B1609" s="11"/>
      <c r="C1609" s="11"/>
      <c r="D1609" s="11"/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1"/>
    </row>
    <row r="1610" spans="1:19" s="9" customFormat="1" x14ac:dyDescent="0.25">
      <c r="A1610" s="10"/>
      <c r="B1610" s="11"/>
      <c r="C1610" s="11"/>
      <c r="D1610" s="11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1"/>
    </row>
    <row r="1611" spans="1:19" s="9" customFormat="1" x14ac:dyDescent="0.25">
      <c r="A1611" s="10"/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</row>
    <row r="1612" spans="1:19" s="9" customFormat="1" x14ac:dyDescent="0.25">
      <c r="A1612" s="10"/>
      <c r="B1612" s="11"/>
      <c r="C1612" s="11"/>
      <c r="D1612" s="11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</row>
    <row r="1613" spans="1:19" s="9" customFormat="1" x14ac:dyDescent="0.25">
      <c r="A1613" s="10"/>
      <c r="B1613" s="11"/>
      <c r="C1613" s="11"/>
      <c r="D1613" s="11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1"/>
    </row>
    <row r="1614" spans="1:19" s="9" customFormat="1" x14ac:dyDescent="0.25">
      <c r="A1614" s="10"/>
      <c r="B1614" s="11"/>
      <c r="C1614" s="11"/>
      <c r="D1614" s="11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1"/>
    </row>
    <row r="1615" spans="1:19" s="9" customFormat="1" x14ac:dyDescent="0.25">
      <c r="A1615" s="10"/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1"/>
    </row>
    <row r="1616" spans="1:19" s="9" customFormat="1" x14ac:dyDescent="0.25">
      <c r="A1616" s="10"/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1"/>
    </row>
    <row r="1617" spans="1:19" s="9" customFormat="1" x14ac:dyDescent="0.25">
      <c r="A1617" s="10"/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</row>
    <row r="1618" spans="1:19" s="9" customFormat="1" x14ac:dyDescent="0.25">
      <c r="A1618" s="10"/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</row>
    <row r="1619" spans="1:19" s="9" customFormat="1" x14ac:dyDescent="0.25">
      <c r="A1619" s="10"/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1"/>
    </row>
    <row r="1620" spans="1:19" s="9" customFormat="1" x14ac:dyDescent="0.25">
      <c r="A1620" s="10"/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1"/>
    </row>
    <row r="1621" spans="1:19" s="9" customFormat="1" x14ac:dyDescent="0.25">
      <c r="A1621" s="10"/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1"/>
    </row>
    <row r="1622" spans="1:19" s="9" customFormat="1" x14ac:dyDescent="0.25">
      <c r="A1622" s="10"/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1"/>
    </row>
    <row r="1623" spans="1:19" s="9" customFormat="1" x14ac:dyDescent="0.25">
      <c r="A1623" s="10"/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</row>
    <row r="1624" spans="1:19" s="9" customFormat="1" x14ac:dyDescent="0.25">
      <c r="A1624" s="10"/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</row>
    <row r="1625" spans="1:19" s="9" customFormat="1" x14ac:dyDescent="0.25">
      <c r="A1625" s="10"/>
      <c r="B1625" s="11"/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1"/>
    </row>
    <row r="1626" spans="1:19" s="9" customFormat="1" x14ac:dyDescent="0.25">
      <c r="A1626" s="10"/>
      <c r="B1626" s="11"/>
      <c r="C1626" s="11"/>
      <c r="D1626" s="11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</row>
    <row r="1627" spans="1:19" s="9" customFormat="1" x14ac:dyDescent="0.25">
      <c r="A1627" s="10"/>
      <c r="B1627" s="11"/>
      <c r="C1627" s="11"/>
      <c r="D1627" s="11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1"/>
    </row>
    <row r="1628" spans="1:19" s="9" customFormat="1" x14ac:dyDescent="0.25">
      <c r="A1628" s="10"/>
      <c r="B1628" s="11"/>
      <c r="C1628" s="11"/>
      <c r="D1628" s="11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</row>
    <row r="1629" spans="1:19" s="9" customFormat="1" x14ac:dyDescent="0.25">
      <c r="A1629" s="10"/>
      <c r="B1629" s="11"/>
      <c r="C1629" s="11"/>
      <c r="D1629" s="11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1"/>
    </row>
    <row r="1630" spans="1:19" s="9" customFormat="1" x14ac:dyDescent="0.25">
      <c r="A1630" s="10"/>
      <c r="B1630" s="11"/>
      <c r="C1630" s="11"/>
      <c r="D1630" s="11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</row>
    <row r="1631" spans="1:19" s="9" customFormat="1" x14ac:dyDescent="0.25">
      <c r="A1631" s="10"/>
      <c r="B1631" s="11"/>
      <c r="C1631" s="11"/>
      <c r="D1631" s="11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</row>
    <row r="1632" spans="1:19" s="9" customFormat="1" x14ac:dyDescent="0.25">
      <c r="A1632" s="10"/>
      <c r="B1632" s="11"/>
      <c r="C1632" s="11"/>
      <c r="D1632" s="11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</row>
    <row r="1633" spans="1:19" s="9" customFormat="1" x14ac:dyDescent="0.25">
      <c r="A1633" s="10"/>
      <c r="B1633" s="11"/>
      <c r="C1633" s="11"/>
      <c r="D1633" s="11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1"/>
    </row>
    <row r="1634" spans="1:19" s="9" customFormat="1" x14ac:dyDescent="0.25">
      <c r="A1634" s="10"/>
      <c r="B1634" s="11"/>
      <c r="C1634" s="11"/>
      <c r="D1634" s="11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</row>
    <row r="1635" spans="1:19" s="9" customFormat="1" x14ac:dyDescent="0.25">
      <c r="A1635" s="10"/>
      <c r="B1635" s="11"/>
      <c r="C1635" s="11"/>
      <c r="D1635" s="11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</row>
    <row r="1636" spans="1:19" s="9" customFormat="1" x14ac:dyDescent="0.25">
      <c r="A1636" s="10"/>
      <c r="B1636" s="11"/>
      <c r="C1636" s="11"/>
      <c r="D1636" s="11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</row>
    <row r="1637" spans="1:19" s="9" customFormat="1" x14ac:dyDescent="0.25">
      <c r="A1637" s="10"/>
      <c r="B1637" s="11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1"/>
    </row>
    <row r="1638" spans="1:19" s="9" customFormat="1" x14ac:dyDescent="0.25">
      <c r="A1638" s="10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</row>
    <row r="1639" spans="1:19" s="9" customFormat="1" x14ac:dyDescent="0.25">
      <c r="A1639" s="10"/>
      <c r="B1639" s="11"/>
      <c r="C1639" s="11"/>
      <c r="D1639" s="11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1"/>
    </row>
    <row r="1640" spans="1:19" s="9" customFormat="1" x14ac:dyDescent="0.25">
      <c r="A1640" s="10"/>
      <c r="B1640" s="11"/>
      <c r="C1640" s="11"/>
      <c r="D1640" s="11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1"/>
    </row>
    <row r="1641" spans="1:19" s="9" customFormat="1" x14ac:dyDescent="0.25">
      <c r="A1641" s="10"/>
      <c r="B1641" s="11"/>
      <c r="C1641" s="11"/>
      <c r="D1641" s="11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1"/>
    </row>
    <row r="1642" spans="1:19" s="9" customFormat="1" x14ac:dyDescent="0.25">
      <c r="A1642" s="10"/>
      <c r="B1642" s="11"/>
      <c r="C1642" s="11"/>
      <c r="D1642" s="11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1"/>
    </row>
    <row r="1643" spans="1:19" s="9" customFormat="1" x14ac:dyDescent="0.25">
      <c r="A1643" s="10"/>
      <c r="B1643" s="11"/>
      <c r="C1643" s="11"/>
      <c r="D1643" s="11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</row>
    <row r="1644" spans="1:19" s="9" customFormat="1" x14ac:dyDescent="0.25">
      <c r="A1644" s="10"/>
      <c r="B1644" s="11"/>
      <c r="C1644" s="11"/>
      <c r="D1644" s="11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1"/>
    </row>
    <row r="1645" spans="1:19" s="9" customFormat="1" x14ac:dyDescent="0.25">
      <c r="A1645" s="10"/>
      <c r="B1645" s="11"/>
      <c r="C1645" s="11"/>
      <c r="D1645" s="11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</row>
    <row r="1646" spans="1:19" s="9" customFormat="1" x14ac:dyDescent="0.25">
      <c r="A1646" s="10"/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</row>
    <row r="1647" spans="1:19" s="9" customFormat="1" x14ac:dyDescent="0.25">
      <c r="A1647" s="10"/>
      <c r="B1647" s="11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</row>
    <row r="1648" spans="1:19" s="9" customFormat="1" x14ac:dyDescent="0.25">
      <c r="A1648" s="10"/>
      <c r="B1648" s="11"/>
      <c r="C1648" s="11"/>
      <c r="D1648" s="11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1"/>
    </row>
    <row r="1649" spans="1:19" s="9" customFormat="1" x14ac:dyDescent="0.25">
      <c r="A1649" s="10"/>
      <c r="B1649" s="11"/>
      <c r="C1649" s="11"/>
      <c r="D1649" s="11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1"/>
    </row>
    <row r="1650" spans="1:19" s="9" customFormat="1" x14ac:dyDescent="0.25">
      <c r="A1650" s="10"/>
      <c r="B1650" s="11"/>
      <c r="C1650" s="11"/>
      <c r="D1650" s="11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1"/>
    </row>
    <row r="1651" spans="1:19" s="9" customFormat="1" x14ac:dyDescent="0.25">
      <c r="A1651" s="10"/>
      <c r="B1651" s="11"/>
      <c r="C1651" s="11"/>
      <c r="D1651" s="11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1"/>
    </row>
    <row r="1652" spans="1:19" s="9" customFormat="1" x14ac:dyDescent="0.25">
      <c r="A1652" s="10"/>
      <c r="B1652" s="11"/>
      <c r="C1652" s="11"/>
      <c r="D1652" s="11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</row>
    <row r="1653" spans="1:19" s="9" customFormat="1" x14ac:dyDescent="0.25">
      <c r="A1653" s="10"/>
      <c r="B1653" s="11"/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1"/>
    </row>
    <row r="1654" spans="1:19" s="9" customFormat="1" x14ac:dyDescent="0.25">
      <c r="A1654" s="10"/>
      <c r="B1654" s="11"/>
      <c r="C1654" s="11"/>
      <c r="D1654" s="11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</row>
    <row r="1655" spans="1:19" s="9" customFormat="1" x14ac:dyDescent="0.25">
      <c r="A1655" s="10"/>
      <c r="B1655" s="11"/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</row>
    <row r="1656" spans="1:19" s="9" customFormat="1" x14ac:dyDescent="0.25">
      <c r="A1656" s="10"/>
      <c r="B1656" s="11"/>
      <c r="C1656" s="11"/>
      <c r="D1656" s="11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</row>
    <row r="1657" spans="1:19" s="9" customFormat="1" x14ac:dyDescent="0.25">
      <c r="A1657" s="10"/>
      <c r="B1657" s="11"/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1"/>
    </row>
    <row r="1658" spans="1:19" s="9" customFormat="1" x14ac:dyDescent="0.25">
      <c r="A1658" s="10"/>
      <c r="B1658" s="11"/>
      <c r="C1658" s="11"/>
      <c r="D1658" s="11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1"/>
    </row>
    <row r="1659" spans="1:19" s="9" customFormat="1" x14ac:dyDescent="0.25">
      <c r="A1659" s="10"/>
      <c r="B1659" s="11"/>
      <c r="C1659" s="11"/>
      <c r="D1659" s="11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1"/>
    </row>
    <row r="1660" spans="1:19" s="9" customFormat="1" x14ac:dyDescent="0.25">
      <c r="A1660" s="10"/>
      <c r="B1660" s="11"/>
      <c r="C1660" s="11"/>
      <c r="D1660" s="11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</row>
    <row r="1661" spans="1:19" s="9" customFormat="1" x14ac:dyDescent="0.25">
      <c r="A1661" s="10"/>
      <c r="B1661" s="11"/>
      <c r="C1661" s="11"/>
      <c r="D1661" s="11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1"/>
    </row>
    <row r="1662" spans="1:19" s="9" customFormat="1" x14ac:dyDescent="0.25">
      <c r="A1662" s="10"/>
      <c r="B1662" s="11"/>
      <c r="C1662" s="11"/>
      <c r="D1662" s="11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1"/>
    </row>
    <row r="1663" spans="1:19" s="9" customFormat="1" x14ac:dyDescent="0.25">
      <c r="A1663" s="10"/>
      <c r="B1663" s="11"/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</row>
    <row r="1664" spans="1:19" s="9" customFormat="1" x14ac:dyDescent="0.25">
      <c r="A1664" s="10"/>
      <c r="B1664" s="11"/>
      <c r="C1664" s="11"/>
      <c r="D1664" s="11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1"/>
    </row>
    <row r="1665" spans="1:19" s="9" customFormat="1" x14ac:dyDescent="0.25">
      <c r="A1665" s="10"/>
      <c r="B1665" s="11"/>
      <c r="C1665" s="11"/>
      <c r="D1665" s="11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</row>
    <row r="1666" spans="1:19" s="9" customFormat="1" x14ac:dyDescent="0.25">
      <c r="A1666" s="10"/>
      <c r="B1666" s="11"/>
      <c r="C1666" s="11"/>
      <c r="D1666" s="11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</row>
    <row r="1667" spans="1:19" s="9" customFormat="1" x14ac:dyDescent="0.25">
      <c r="A1667" s="10"/>
      <c r="B1667" s="11"/>
      <c r="C1667" s="11"/>
      <c r="D1667" s="11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</row>
    <row r="1668" spans="1:19" s="9" customFormat="1" x14ac:dyDescent="0.25">
      <c r="A1668" s="10"/>
      <c r="B1668" s="11"/>
      <c r="C1668" s="11"/>
      <c r="D1668" s="11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</row>
    <row r="1669" spans="1:19" s="9" customFormat="1" x14ac:dyDescent="0.25">
      <c r="A1669" s="10"/>
      <c r="B1669" s="11"/>
      <c r="C1669" s="11"/>
      <c r="D1669" s="11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</row>
    <row r="1670" spans="1:19" s="9" customFormat="1" x14ac:dyDescent="0.25">
      <c r="A1670" s="10"/>
      <c r="B1670" s="11"/>
      <c r="C1670" s="11"/>
      <c r="D1670" s="11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</row>
    <row r="1671" spans="1:19" s="9" customFormat="1" x14ac:dyDescent="0.25">
      <c r="A1671" s="10"/>
      <c r="B1671" s="11"/>
      <c r="C1671" s="11"/>
      <c r="D1671" s="11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</row>
    <row r="1672" spans="1:19" s="9" customFormat="1" x14ac:dyDescent="0.25">
      <c r="A1672" s="10"/>
      <c r="B1672" s="11"/>
      <c r="C1672" s="11"/>
      <c r="D1672" s="11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</row>
    <row r="1673" spans="1:19" s="9" customFormat="1" x14ac:dyDescent="0.25">
      <c r="A1673" s="10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</row>
    <row r="1674" spans="1:19" s="9" customFormat="1" x14ac:dyDescent="0.25">
      <c r="A1674" s="10"/>
      <c r="B1674" s="11"/>
      <c r="C1674" s="11"/>
      <c r="D1674" s="11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</row>
    <row r="1675" spans="1:19" s="9" customFormat="1" x14ac:dyDescent="0.25">
      <c r="A1675" s="10"/>
      <c r="B1675" s="11"/>
      <c r="C1675" s="11"/>
      <c r="D1675" s="11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</row>
    <row r="1676" spans="1:19" s="9" customFormat="1" x14ac:dyDescent="0.25">
      <c r="A1676" s="10"/>
      <c r="B1676" s="11"/>
      <c r="C1676" s="11"/>
      <c r="D1676" s="11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1"/>
    </row>
    <row r="1677" spans="1:19" s="9" customFormat="1" x14ac:dyDescent="0.25">
      <c r="A1677" s="10"/>
      <c r="B1677" s="11"/>
      <c r="C1677" s="11"/>
      <c r="D1677" s="11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1"/>
    </row>
    <row r="1678" spans="1:19" s="9" customFormat="1" x14ac:dyDescent="0.25">
      <c r="A1678" s="10"/>
      <c r="B1678" s="11"/>
      <c r="C1678" s="11"/>
      <c r="D1678" s="11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</row>
    <row r="1679" spans="1:19" s="9" customFormat="1" x14ac:dyDescent="0.25">
      <c r="A1679" s="10"/>
      <c r="B1679" s="11"/>
      <c r="C1679" s="11"/>
      <c r="D1679" s="11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1"/>
    </row>
    <row r="1680" spans="1:19" s="9" customFormat="1" x14ac:dyDescent="0.25">
      <c r="A1680" s="10"/>
      <c r="B1680" s="11"/>
      <c r="C1680" s="11"/>
      <c r="D1680" s="11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</row>
    <row r="1681" spans="1:19" s="9" customFormat="1" x14ac:dyDescent="0.25">
      <c r="A1681" s="10"/>
      <c r="B1681" s="11"/>
      <c r="C1681" s="11"/>
      <c r="D1681" s="11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1"/>
    </row>
    <row r="1682" spans="1:19" s="9" customFormat="1" x14ac:dyDescent="0.25">
      <c r="A1682" s="10"/>
      <c r="B1682" s="11"/>
      <c r="C1682" s="11"/>
      <c r="D1682" s="11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</row>
    <row r="1683" spans="1:19" s="9" customFormat="1" x14ac:dyDescent="0.25">
      <c r="A1683" s="10"/>
      <c r="B1683" s="11"/>
      <c r="C1683" s="11"/>
      <c r="D1683" s="11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1"/>
    </row>
    <row r="1684" spans="1:19" s="9" customFormat="1" x14ac:dyDescent="0.25">
      <c r="A1684" s="10"/>
      <c r="B1684" s="11"/>
      <c r="C1684" s="11"/>
      <c r="D1684" s="11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</row>
    <row r="1685" spans="1:19" s="9" customFormat="1" x14ac:dyDescent="0.25">
      <c r="A1685" s="10"/>
      <c r="B1685" s="11"/>
      <c r="C1685" s="11"/>
      <c r="D1685" s="11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</row>
    <row r="1686" spans="1:19" s="9" customFormat="1" x14ac:dyDescent="0.25">
      <c r="A1686" s="10"/>
      <c r="B1686" s="11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</row>
    <row r="1687" spans="1:19" s="9" customFormat="1" x14ac:dyDescent="0.25">
      <c r="A1687" s="10"/>
      <c r="B1687" s="11"/>
      <c r="C1687" s="11"/>
      <c r="D1687" s="11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</row>
    <row r="1688" spans="1:19" s="9" customFormat="1" x14ac:dyDescent="0.25">
      <c r="A1688" s="10"/>
      <c r="B1688" s="11"/>
      <c r="C1688" s="11"/>
      <c r="D1688" s="11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</row>
    <row r="1689" spans="1:19" s="9" customFormat="1" x14ac:dyDescent="0.25">
      <c r="A1689" s="10"/>
      <c r="B1689" s="11"/>
      <c r="C1689" s="11"/>
      <c r="D1689" s="11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</row>
    <row r="1690" spans="1:19" s="9" customFormat="1" x14ac:dyDescent="0.25">
      <c r="A1690" s="10"/>
      <c r="B1690" s="11"/>
      <c r="C1690" s="11"/>
      <c r="D1690" s="11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</row>
    <row r="1691" spans="1:19" s="9" customFormat="1" x14ac:dyDescent="0.25">
      <c r="A1691" s="10"/>
      <c r="B1691" s="11"/>
      <c r="C1691" s="11"/>
      <c r="D1691" s="11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1"/>
    </row>
    <row r="1692" spans="1:19" s="9" customFormat="1" x14ac:dyDescent="0.25">
      <c r="A1692" s="10"/>
      <c r="B1692" s="11"/>
      <c r="C1692" s="11"/>
      <c r="D1692" s="11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</row>
    <row r="1693" spans="1:19" s="9" customFormat="1" x14ac:dyDescent="0.25">
      <c r="A1693" s="10"/>
      <c r="B1693" s="11"/>
      <c r="C1693" s="11"/>
      <c r="D1693" s="11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1"/>
    </row>
    <row r="1694" spans="1:19" s="9" customFormat="1" x14ac:dyDescent="0.25">
      <c r="A1694" s="10"/>
      <c r="B1694" s="11"/>
      <c r="C1694" s="11"/>
      <c r="D1694" s="11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1"/>
    </row>
    <row r="1695" spans="1:19" s="9" customFormat="1" x14ac:dyDescent="0.25">
      <c r="A1695" s="10"/>
      <c r="B1695" s="11"/>
      <c r="C1695" s="11"/>
      <c r="D1695" s="11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1"/>
    </row>
    <row r="1696" spans="1:19" s="9" customFormat="1" x14ac:dyDescent="0.25">
      <c r="A1696" s="10"/>
      <c r="B1696" s="11"/>
      <c r="C1696" s="11"/>
      <c r="D1696" s="11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1"/>
    </row>
    <row r="1697" spans="1:19" s="9" customFormat="1" x14ac:dyDescent="0.25">
      <c r="A1697" s="10"/>
      <c r="B1697" s="11"/>
      <c r="C1697" s="11"/>
      <c r="D1697" s="11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</row>
    <row r="1698" spans="1:19" s="9" customFormat="1" x14ac:dyDescent="0.25">
      <c r="A1698" s="10"/>
      <c r="B1698" s="11"/>
      <c r="C1698" s="11"/>
      <c r="D1698" s="11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</row>
    <row r="1699" spans="1:19" s="9" customFormat="1" x14ac:dyDescent="0.25">
      <c r="A1699" s="10"/>
      <c r="B1699" s="11"/>
      <c r="C1699" s="11"/>
      <c r="D1699" s="11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1"/>
    </row>
    <row r="1700" spans="1:19" s="9" customFormat="1" x14ac:dyDescent="0.25">
      <c r="A1700" s="10"/>
      <c r="B1700" s="11"/>
      <c r="C1700" s="11"/>
      <c r="D1700" s="11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</row>
    <row r="1701" spans="1:19" s="9" customFormat="1" x14ac:dyDescent="0.25">
      <c r="A1701" s="10"/>
      <c r="B1701" s="11"/>
      <c r="C1701" s="11"/>
      <c r="D1701" s="11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</row>
    <row r="1702" spans="1:19" s="9" customFormat="1" x14ac:dyDescent="0.25">
      <c r="A1702" s="10"/>
      <c r="B1702" s="11"/>
      <c r="C1702" s="11"/>
      <c r="D1702" s="11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1"/>
    </row>
    <row r="1703" spans="1:19" s="9" customFormat="1" x14ac:dyDescent="0.25">
      <c r="A1703" s="10"/>
      <c r="B1703" s="11"/>
      <c r="C1703" s="11"/>
      <c r="D1703" s="11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1"/>
    </row>
    <row r="1704" spans="1:19" s="9" customFormat="1" x14ac:dyDescent="0.25">
      <c r="A1704" s="10"/>
      <c r="B1704" s="11"/>
      <c r="C1704" s="11"/>
      <c r="D1704" s="11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</row>
    <row r="1705" spans="1:19" s="9" customFormat="1" x14ac:dyDescent="0.25">
      <c r="A1705" s="10"/>
      <c r="B1705" s="11"/>
      <c r="C1705" s="11"/>
      <c r="D1705" s="11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</row>
    <row r="1706" spans="1:19" s="9" customFormat="1" x14ac:dyDescent="0.25">
      <c r="A1706" s="10"/>
      <c r="B1706" s="11"/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</row>
    <row r="1707" spans="1:19" s="9" customFormat="1" x14ac:dyDescent="0.25">
      <c r="A1707" s="10"/>
      <c r="B1707" s="11"/>
      <c r="C1707" s="11"/>
      <c r="D1707" s="11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1"/>
    </row>
    <row r="1708" spans="1:19" s="9" customFormat="1" x14ac:dyDescent="0.25">
      <c r="A1708" s="10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</row>
    <row r="1709" spans="1:19" s="9" customFormat="1" x14ac:dyDescent="0.25">
      <c r="A1709" s="10"/>
      <c r="B1709" s="11"/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</row>
    <row r="1710" spans="1:19" s="9" customFormat="1" x14ac:dyDescent="0.25">
      <c r="A1710" s="10"/>
      <c r="B1710" s="11"/>
      <c r="C1710" s="11"/>
      <c r="D1710" s="11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</row>
    <row r="1711" spans="1:19" s="9" customFormat="1" x14ac:dyDescent="0.25">
      <c r="A1711" s="10"/>
      <c r="B1711" s="11"/>
      <c r="C1711" s="11"/>
      <c r="D1711" s="11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</row>
    <row r="1712" spans="1:19" s="9" customFormat="1" x14ac:dyDescent="0.25">
      <c r="A1712" s="10"/>
      <c r="B1712" s="11"/>
      <c r="C1712" s="11"/>
      <c r="D1712" s="11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1"/>
    </row>
    <row r="1713" spans="1:19" s="9" customFormat="1" x14ac:dyDescent="0.25">
      <c r="A1713" s="10"/>
      <c r="B1713" s="11"/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</row>
    <row r="1714" spans="1:19" s="9" customFormat="1" x14ac:dyDescent="0.25">
      <c r="A1714" s="10"/>
      <c r="B1714" s="11"/>
      <c r="C1714" s="11"/>
      <c r="D1714" s="11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1"/>
    </row>
    <row r="1715" spans="1:19" s="9" customFormat="1" x14ac:dyDescent="0.25">
      <c r="A1715" s="10"/>
      <c r="B1715" s="11"/>
      <c r="C1715" s="11"/>
      <c r="D1715" s="11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</row>
    <row r="1716" spans="1:19" s="9" customFormat="1" x14ac:dyDescent="0.25">
      <c r="A1716" s="10"/>
      <c r="B1716" s="11"/>
      <c r="C1716" s="11"/>
      <c r="D1716" s="11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</row>
    <row r="1717" spans="1:19" s="9" customFormat="1" x14ac:dyDescent="0.25">
      <c r="A1717" s="10"/>
      <c r="B1717" s="11"/>
      <c r="C1717" s="11"/>
      <c r="D1717" s="11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</row>
    <row r="1718" spans="1:19" s="9" customFormat="1" x14ac:dyDescent="0.25">
      <c r="A1718" s="10"/>
      <c r="B1718" s="11"/>
      <c r="C1718" s="11"/>
      <c r="D1718" s="11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</row>
    <row r="1719" spans="1:19" s="9" customFormat="1" x14ac:dyDescent="0.25">
      <c r="A1719" s="10"/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</row>
    <row r="1720" spans="1:19" s="9" customFormat="1" x14ac:dyDescent="0.25">
      <c r="A1720" s="10"/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</row>
    <row r="1721" spans="1:19" s="9" customFormat="1" x14ac:dyDescent="0.25">
      <c r="A1721" s="10"/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1"/>
    </row>
    <row r="1722" spans="1:19" s="9" customFormat="1" x14ac:dyDescent="0.25">
      <c r="A1722" s="10"/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</row>
    <row r="1723" spans="1:19" s="9" customFormat="1" x14ac:dyDescent="0.25">
      <c r="A1723" s="10"/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</row>
    <row r="1724" spans="1:19" s="9" customFormat="1" x14ac:dyDescent="0.25">
      <c r="A1724" s="10"/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</row>
    <row r="1725" spans="1:19" s="9" customFormat="1" x14ac:dyDescent="0.25">
      <c r="A1725" s="10"/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</row>
    <row r="1726" spans="1:19" s="9" customFormat="1" x14ac:dyDescent="0.25">
      <c r="A1726" s="10"/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</row>
    <row r="1727" spans="1:19" s="9" customFormat="1" x14ac:dyDescent="0.25">
      <c r="A1727" s="10"/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</row>
    <row r="1728" spans="1:19" s="9" customFormat="1" x14ac:dyDescent="0.25">
      <c r="A1728" s="10"/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</row>
    <row r="1729" spans="1:19" s="9" customFormat="1" x14ac:dyDescent="0.25">
      <c r="A1729" s="10"/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</row>
    <row r="1730" spans="1:19" s="9" customFormat="1" x14ac:dyDescent="0.25">
      <c r="A1730" s="10"/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</row>
    <row r="1731" spans="1:19" s="9" customFormat="1" x14ac:dyDescent="0.25">
      <c r="A1731" s="10"/>
      <c r="B1731" s="11"/>
      <c r="C1731" s="11"/>
      <c r="D1731" s="11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1"/>
    </row>
    <row r="1732" spans="1:19" s="9" customFormat="1" x14ac:dyDescent="0.25">
      <c r="A1732" s="10"/>
      <c r="B1732" s="11"/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</row>
    <row r="1733" spans="1:19" s="9" customFormat="1" x14ac:dyDescent="0.25">
      <c r="A1733" s="10"/>
      <c r="B1733" s="11"/>
      <c r="C1733" s="11"/>
      <c r="D1733" s="11"/>
      <c r="E1733" s="11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</row>
    <row r="1734" spans="1:19" s="9" customFormat="1" x14ac:dyDescent="0.25">
      <c r="A1734" s="10"/>
      <c r="B1734" s="11"/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</row>
    <row r="1735" spans="1:19" s="9" customFormat="1" x14ac:dyDescent="0.25">
      <c r="A1735" s="10"/>
      <c r="B1735" s="11"/>
      <c r="C1735" s="11"/>
      <c r="D1735" s="11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1"/>
    </row>
    <row r="1736" spans="1:19" s="9" customFormat="1" x14ac:dyDescent="0.25">
      <c r="A1736" s="10"/>
      <c r="B1736" s="11"/>
      <c r="C1736" s="11"/>
      <c r="D1736" s="11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</row>
    <row r="1737" spans="1:19" s="9" customFormat="1" x14ac:dyDescent="0.25">
      <c r="A1737" s="10"/>
      <c r="B1737" s="11"/>
      <c r="C1737" s="11"/>
      <c r="D1737" s="11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</row>
    <row r="1738" spans="1:19" s="9" customFormat="1" x14ac:dyDescent="0.25">
      <c r="A1738" s="10"/>
      <c r="B1738" s="11"/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</row>
    <row r="1739" spans="1:19" s="9" customFormat="1" x14ac:dyDescent="0.25">
      <c r="A1739" s="10"/>
      <c r="B1739" s="11"/>
      <c r="C1739" s="11"/>
      <c r="D1739" s="11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</row>
    <row r="1740" spans="1:19" s="9" customFormat="1" x14ac:dyDescent="0.25">
      <c r="A1740" s="10"/>
      <c r="B1740" s="11"/>
      <c r="C1740" s="11"/>
      <c r="D1740" s="11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</row>
    <row r="1741" spans="1:19" s="9" customFormat="1" x14ac:dyDescent="0.25">
      <c r="A1741" s="10"/>
      <c r="B1741" s="11"/>
      <c r="C1741" s="11"/>
      <c r="D1741" s="11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</row>
    <row r="1742" spans="1:19" s="9" customFormat="1" x14ac:dyDescent="0.25">
      <c r="A1742" s="10"/>
      <c r="B1742" s="11"/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</row>
    <row r="1743" spans="1:19" s="9" customFormat="1" x14ac:dyDescent="0.25">
      <c r="A1743" s="10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</row>
    <row r="1744" spans="1:19" s="9" customFormat="1" x14ac:dyDescent="0.25">
      <c r="A1744" s="10"/>
      <c r="B1744" s="11"/>
      <c r="C1744" s="11"/>
      <c r="D1744" s="11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</row>
    <row r="1745" spans="1:19" s="9" customFormat="1" x14ac:dyDescent="0.25">
      <c r="A1745" s="10"/>
      <c r="B1745" s="11"/>
      <c r="C1745" s="11"/>
      <c r="D1745" s="11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</row>
    <row r="1746" spans="1:19" s="9" customFormat="1" x14ac:dyDescent="0.25">
      <c r="A1746" s="10"/>
      <c r="B1746" s="11"/>
      <c r="C1746" s="11"/>
      <c r="D1746" s="11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1"/>
    </row>
    <row r="1747" spans="1:19" s="9" customFormat="1" x14ac:dyDescent="0.25">
      <c r="A1747" s="10"/>
      <c r="B1747" s="11"/>
      <c r="C1747" s="11"/>
      <c r="D1747" s="11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1"/>
    </row>
    <row r="1748" spans="1:19" s="9" customFormat="1" x14ac:dyDescent="0.25">
      <c r="A1748" s="10"/>
      <c r="B1748" s="11"/>
      <c r="C1748" s="11"/>
      <c r="D1748" s="11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</row>
    <row r="1749" spans="1:19" s="9" customFormat="1" x14ac:dyDescent="0.25">
      <c r="A1749" s="10"/>
      <c r="B1749" s="11"/>
      <c r="C1749" s="11"/>
      <c r="D1749" s="11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</row>
    <row r="1750" spans="1:19" s="9" customFormat="1" x14ac:dyDescent="0.25">
      <c r="A1750" s="10"/>
      <c r="B1750" s="11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</row>
    <row r="1751" spans="1:19" s="9" customFormat="1" x14ac:dyDescent="0.25">
      <c r="A1751" s="10"/>
      <c r="B1751" s="11"/>
      <c r="C1751" s="11"/>
      <c r="D1751" s="11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</row>
    <row r="1752" spans="1:19" s="9" customFormat="1" x14ac:dyDescent="0.25">
      <c r="A1752" s="10"/>
      <c r="B1752" s="11"/>
      <c r="C1752" s="11"/>
      <c r="D1752" s="11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</row>
    <row r="1753" spans="1:19" s="9" customFormat="1" x14ac:dyDescent="0.25">
      <c r="A1753" s="10"/>
      <c r="B1753" s="11"/>
      <c r="C1753" s="11"/>
      <c r="D1753" s="11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</row>
    <row r="1754" spans="1:19" s="9" customFormat="1" x14ac:dyDescent="0.25">
      <c r="A1754" s="10"/>
      <c r="B1754" s="11"/>
      <c r="C1754" s="11"/>
      <c r="D1754" s="11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</row>
    <row r="1755" spans="1:19" s="9" customFormat="1" x14ac:dyDescent="0.25">
      <c r="A1755" s="10"/>
      <c r="B1755" s="11"/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</row>
    <row r="1756" spans="1:19" s="9" customFormat="1" x14ac:dyDescent="0.25">
      <c r="A1756" s="10"/>
      <c r="B1756" s="11"/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</row>
    <row r="1757" spans="1:19" s="9" customFormat="1" x14ac:dyDescent="0.25">
      <c r="A1757" s="10"/>
      <c r="B1757" s="11"/>
      <c r="C1757" s="11"/>
      <c r="D1757" s="11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</row>
    <row r="1758" spans="1:19" s="9" customFormat="1" x14ac:dyDescent="0.25">
      <c r="A1758" s="10"/>
      <c r="B1758" s="11"/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</row>
    <row r="1759" spans="1:19" s="9" customFormat="1" x14ac:dyDescent="0.25">
      <c r="A1759" s="10"/>
      <c r="B1759" s="11"/>
      <c r="C1759" s="11"/>
      <c r="D1759" s="11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</row>
    <row r="1760" spans="1:19" s="9" customFormat="1" x14ac:dyDescent="0.25">
      <c r="A1760" s="10"/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</row>
    <row r="1761" spans="1:19" s="9" customFormat="1" x14ac:dyDescent="0.25">
      <c r="A1761" s="10"/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</row>
    <row r="1762" spans="1:19" s="9" customFormat="1" x14ac:dyDescent="0.25">
      <c r="A1762" s="10"/>
      <c r="B1762" s="11"/>
      <c r="C1762" s="11"/>
      <c r="D1762" s="11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</row>
    <row r="1763" spans="1:19" s="9" customFormat="1" x14ac:dyDescent="0.25">
      <c r="A1763" s="10"/>
      <c r="B1763" s="11"/>
      <c r="C1763" s="11"/>
      <c r="D1763" s="11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</row>
    <row r="1764" spans="1:19" s="9" customFormat="1" x14ac:dyDescent="0.25">
      <c r="A1764" s="10"/>
      <c r="B1764" s="11"/>
      <c r="C1764" s="11"/>
      <c r="D1764" s="11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</row>
    <row r="1765" spans="1:19" s="9" customFormat="1" x14ac:dyDescent="0.25">
      <c r="A1765" s="10"/>
      <c r="B1765" s="11"/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</row>
    <row r="1766" spans="1:19" s="9" customFormat="1" x14ac:dyDescent="0.25">
      <c r="A1766" s="10"/>
      <c r="B1766" s="11"/>
      <c r="C1766" s="11"/>
      <c r="D1766" s="11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</row>
    <row r="1767" spans="1:19" s="9" customFormat="1" x14ac:dyDescent="0.25">
      <c r="A1767" s="10"/>
      <c r="B1767" s="11"/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</row>
    <row r="1768" spans="1:19" s="9" customFormat="1" x14ac:dyDescent="0.25">
      <c r="A1768" s="10"/>
      <c r="B1768" s="11"/>
      <c r="C1768" s="11"/>
      <c r="D1768" s="11"/>
      <c r="E1768" s="11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</row>
    <row r="1769" spans="1:19" s="9" customFormat="1" x14ac:dyDescent="0.25">
      <c r="A1769" s="10"/>
      <c r="B1769" s="11"/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</row>
    <row r="1770" spans="1:19" s="9" customFormat="1" x14ac:dyDescent="0.25">
      <c r="A1770" s="10"/>
      <c r="B1770" s="11"/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</row>
    <row r="1771" spans="1:19" s="9" customFormat="1" x14ac:dyDescent="0.25">
      <c r="A1771" s="10"/>
      <c r="B1771" s="11"/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</row>
    <row r="1772" spans="1:19" s="9" customFormat="1" x14ac:dyDescent="0.25">
      <c r="A1772" s="10"/>
      <c r="B1772" s="11"/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</row>
    <row r="1773" spans="1:19" s="9" customFormat="1" x14ac:dyDescent="0.25">
      <c r="A1773" s="10"/>
      <c r="B1773" s="11"/>
      <c r="C1773" s="11"/>
      <c r="D1773" s="11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</row>
    <row r="1774" spans="1:19" s="9" customFormat="1" x14ac:dyDescent="0.25">
      <c r="A1774" s="10"/>
      <c r="B1774" s="11"/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</row>
    <row r="1775" spans="1:19" s="9" customFormat="1" x14ac:dyDescent="0.25">
      <c r="A1775" s="10"/>
      <c r="B1775" s="11"/>
      <c r="C1775" s="11"/>
      <c r="D1775" s="11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</row>
    <row r="1776" spans="1:19" s="9" customFormat="1" x14ac:dyDescent="0.25">
      <c r="A1776" s="10"/>
      <c r="B1776" s="11"/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</row>
    <row r="1777" spans="1:19" s="9" customFormat="1" x14ac:dyDescent="0.25">
      <c r="A1777" s="10"/>
      <c r="B1777" s="11"/>
      <c r="C1777" s="11"/>
      <c r="D1777" s="11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</row>
    <row r="1778" spans="1:19" s="9" customFormat="1" x14ac:dyDescent="0.25">
      <c r="A1778" s="10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</row>
    <row r="1779" spans="1:19" s="9" customFormat="1" x14ac:dyDescent="0.25">
      <c r="A1779" s="10"/>
      <c r="B1779" s="11"/>
      <c r="C1779" s="11"/>
      <c r="D1779" s="11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</row>
    <row r="1780" spans="1:19" s="9" customFormat="1" x14ac:dyDescent="0.25">
      <c r="A1780" s="10"/>
      <c r="B1780" s="11"/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</row>
    <row r="1781" spans="1:19" s="9" customFormat="1" x14ac:dyDescent="0.25">
      <c r="A1781" s="10"/>
      <c r="B1781" s="11"/>
      <c r="C1781" s="11"/>
      <c r="D1781" s="11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</row>
    <row r="1782" spans="1:19" s="9" customFormat="1" x14ac:dyDescent="0.25">
      <c r="A1782" s="10"/>
      <c r="B1782" s="11"/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</row>
    <row r="1783" spans="1:19" s="9" customFormat="1" x14ac:dyDescent="0.25">
      <c r="A1783" s="10"/>
      <c r="B1783" s="11"/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</row>
    <row r="1784" spans="1:19" s="9" customFormat="1" x14ac:dyDescent="0.25">
      <c r="A1784" s="10"/>
      <c r="B1784" s="11"/>
      <c r="C1784" s="11"/>
      <c r="D1784" s="11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1"/>
    </row>
    <row r="1785" spans="1:19" s="9" customFormat="1" x14ac:dyDescent="0.25">
      <c r="A1785" s="10"/>
      <c r="B1785" s="11"/>
      <c r="C1785" s="11"/>
      <c r="D1785" s="11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1"/>
    </row>
    <row r="1786" spans="1:19" s="9" customFormat="1" x14ac:dyDescent="0.25">
      <c r="A1786" s="10"/>
      <c r="B1786" s="11"/>
      <c r="C1786" s="11"/>
      <c r="D1786" s="11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</row>
    <row r="1787" spans="1:19" s="9" customFormat="1" x14ac:dyDescent="0.25">
      <c r="A1787" s="10"/>
      <c r="B1787" s="11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</row>
    <row r="1788" spans="1:19" s="9" customFormat="1" x14ac:dyDescent="0.25">
      <c r="A1788" s="10"/>
      <c r="B1788" s="11"/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</row>
    <row r="1789" spans="1:19" s="9" customFormat="1" x14ac:dyDescent="0.25">
      <c r="A1789" s="10"/>
      <c r="B1789" s="11"/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</row>
    <row r="1790" spans="1:19" s="9" customFormat="1" x14ac:dyDescent="0.25">
      <c r="A1790" s="10"/>
      <c r="B1790" s="11"/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</row>
    <row r="1791" spans="1:19" s="9" customFormat="1" x14ac:dyDescent="0.25">
      <c r="A1791" s="10"/>
      <c r="B1791" s="11"/>
      <c r="C1791" s="11"/>
      <c r="D1791" s="11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</row>
    <row r="1792" spans="1:19" s="9" customFormat="1" x14ac:dyDescent="0.25">
      <c r="A1792" s="10"/>
      <c r="B1792" s="11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</row>
    <row r="1793" spans="1:19" s="9" customFormat="1" x14ac:dyDescent="0.25">
      <c r="A1793" s="10"/>
      <c r="B1793" s="11"/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</row>
    <row r="1794" spans="1:19" s="9" customFormat="1" x14ac:dyDescent="0.25">
      <c r="A1794" s="10"/>
      <c r="B1794" s="11"/>
      <c r="C1794" s="11"/>
      <c r="D1794" s="11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</row>
    <row r="1795" spans="1:19" s="9" customFormat="1" x14ac:dyDescent="0.25">
      <c r="A1795" s="10"/>
      <c r="B1795" s="11"/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</row>
    <row r="1796" spans="1:19" s="9" customFormat="1" x14ac:dyDescent="0.25">
      <c r="A1796" s="10"/>
      <c r="B1796" s="11"/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</row>
    <row r="1797" spans="1:19" s="9" customFormat="1" x14ac:dyDescent="0.25">
      <c r="A1797" s="10"/>
      <c r="B1797" s="11"/>
      <c r="C1797" s="11"/>
      <c r="D1797" s="11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</row>
    <row r="1798" spans="1:19" s="9" customFormat="1" x14ac:dyDescent="0.25">
      <c r="A1798" s="10"/>
      <c r="B1798" s="11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</row>
    <row r="1799" spans="1:19" s="9" customFormat="1" x14ac:dyDescent="0.25">
      <c r="A1799" s="10"/>
      <c r="B1799" s="11"/>
      <c r="C1799" s="11"/>
      <c r="D1799" s="11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</row>
    <row r="1800" spans="1:19" s="9" customFormat="1" x14ac:dyDescent="0.25">
      <c r="A1800" s="10"/>
      <c r="B1800" s="11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</row>
    <row r="1801" spans="1:19" s="9" customFormat="1" x14ac:dyDescent="0.25">
      <c r="A1801" s="10"/>
      <c r="B1801" s="11"/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1"/>
    </row>
    <row r="1802" spans="1:19" s="9" customFormat="1" x14ac:dyDescent="0.25">
      <c r="A1802" s="10"/>
      <c r="B1802" s="11"/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</row>
    <row r="1803" spans="1:19" s="9" customFormat="1" x14ac:dyDescent="0.25">
      <c r="A1803" s="10"/>
      <c r="B1803" s="11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</row>
    <row r="1804" spans="1:19" s="9" customFormat="1" x14ac:dyDescent="0.25">
      <c r="A1804" s="10"/>
      <c r="B1804" s="11"/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</row>
    <row r="1805" spans="1:19" s="9" customFormat="1" x14ac:dyDescent="0.25">
      <c r="A1805" s="10"/>
      <c r="B1805" s="11"/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</row>
    <row r="1806" spans="1:19" s="9" customFormat="1" x14ac:dyDescent="0.25">
      <c r="A1806" s="10"/>
      <c r="B1806" s="11"/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</row>
    <row r="1807" spans="1:19" s="9" customFormat="1" x14ac:dyDescent="0.25">
      <c r="A1807" s="10"/>
      <c r="B1807" s="11"/>
      <c r="C1807" s="11"/>
      <c r="D1807" s="11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</row>
    <row r="1808" spans="1:19" s="9" customFormat="1" x14ac:dyDescent="0.25">
      <c r="A1808" s="10"/>
      <c r="B1808" s="11"/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</row>
    <row r="1809" spans="1:19" s="9" customFormat="1" x14ac:dyDescent="0.25">
      <c r="A1809" s="10"/>
      <c r="B1809" s="11"/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</row>
    <row r="1810" spans="1:19" s="9" customFormat="1" x14ac:dyDescent="0.25">
      <c r="A1810" s="10"/>
      <c r="B1810" s="11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</row>
    <row r="1811" spans="1:19" s="9" customFormat="1" x14ac:dyDescent="0.25">
      <c r="A1811" s="10"/>
      <c r="B1811" s="11"/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</row>
    <row r="1812" spans="1:19" s="9" customFormat="1" x14ac:dyDescent="0.25">
      <c r="A1812" s="10"/>
      <c r="B1812" s="11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</row>
    <row r="1813" spans="1:19" s="9" customFormat="1" x14ac:dyDescent="0.25">
      <c r="A1813" s="10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</row>
    <row r="1814" spans="1:19" s="9" customFormat="1" x14ac:dyDescent="0.25">
      <c r="A1814" s="10"/>
      <c r="B1814" s="11"/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</row>
    <row r="1815" spans="1:19" s="9" customFormat="1" x14ac:dyDescent="0.25">
      <c r="A1815" s="10"/>
      <c r="B1815" s="11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</row>
    <row r="1816" spans="1:19" s="9" customFormat="1" x14ac:dyDescent="0.25">
      <c r="A1816" s="10"/>
      <c r="B1816" s="11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</row>
    <row r="1817" spans="1:19" s="9" customFormat="1" x14ac:dyDescent="0.25">
      <c r="A1817" s="10"/>
      <c r="B1817" s="11"/>
      <c r="C1817" s="11"/>
      <c r="D1817" s="11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</row>
    <row r="1818" spans="1:19" s="9" customFormat="1" x14ac:dyDescent="0.25">
      <c r="A1818" s="10"/>
      <c r="B1818" s="11"/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</row>
    <row r="1819" spans="1:19" s="9" customFormat="1" x14ac:dyDescent="0.25">
      <c r="A1819" s="10"/>
      <c r="B1819" s="11"/>
      <c r="C1819" s="11"/>
      <c r="D1819" s="11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</row>
    <row r="1820" spans="1:19" s="9" customFormat="1" x14ac:dyDescent="0.25">
      <c r="A1820" s="10"/>
      <c r="B1820" s="11"/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</row>
    <row r="1821" spans="1:19" s="9" customFormat="1" x14ac:dyDescent="0.25">
      <c r="A1821" s="10"/>
      <c r="B1821" s="11"/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</row>
    <row r="1822" spans="1:19" s="9" customFormat="1" x14ac:dyDescent="0.25">
      <c r="A1822" s="10"/>
      <c r="B1822" s="11"/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</row>
    <row r="1823" spans="1:19" s="9" customFormat="1" x14ac:dyDescent="0.25">
      <c r="A1823" s="10"/>
      <c r="B1823" s="11"/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</row>
    <row r="1824" spans="1:19" s="9" customFormat="1" x14ac:dyDescent="0.25">
      <c r="A1824" s="10"/>
      <c r="B1824" s="11"/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</row>
    <row r="1825" spans="1:19" s="9" customFormat="1" x14ac:dyDescent="0.25">
      <c r="A1825" s="10"/>
      <c r="B1825" s="11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</row>
    <row r="1826" spans="1:19" s="9" customFormat="1" x14ac:dyDescent="0.25">
      <c r="A1826" s="10"/>
      <c r="B1826" s="11"/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</row>
    <row r="1827" spans="1:19" s="9" customFormat="1" x14ac:dyDescent="0.25">
      <c r="A1827" s="10"/>
      <c r="B1827" s="11"/>
      <c r="C1827" s="11"/>
      <c r="D1827" s="11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</row>
    <row r="1828" spans="1:19" s="9" customFormat="1" x14ac:dyDescent="0.25">
      <c r="A1828" s="10"/>
      <c r="B1828" s="11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</row>
    <row r="1829" spans="1:19" s="9" customFormat="1" x14ac:dyDescent="0.25">
      <c r="A1829" s="10"/>
      <c r="B1829" s="11"/>
      <c r="C1829" s="11"/>
      <c r="D1829" s="11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</row>
    <row r="1830" spans="1:19" s="9" customFormat="1" x14ac:dyDescent="0.25">
      <c r="A1830" s="10"/>
      <c r="B1830" s="11"/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</row>
    <row r="1831" spans="1:19" s="9" customFormat="1" x14ac:dyDescent="0.25">
      <c r="A1831" s="10"/>
      <c r="B1831" s="11"/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</row>
    <row r="1832" spans="1:19" s="9" customFormat="1" x14ac:dyDescent="0.25">
      <c r="A1832" s="10"/>
      <c r="B1832" s="11"/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</row>
    <row r="1833" spans="1:19" s="9" customFormat="1" x14ac:dyDescent="0.25">
      <c r="A1833" s="10"/>
      <c r="B1833" s="11"/>
      <c r="C1833" s="11"/>
      <c r="D1833" s="11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</row>
    <row r="1834" spans="1:19" s="9" customFormat="1" x14ac:dyDescent="0.25">
      <c r="A1834" s="10"/>
      <c r="B1834" s="11"/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</row>
    <row r="1835" spans="1:19" s="9" customFormat="1" x14ac:dyDescent="0.25">
      <c r="A1835" s="10"/>
      <c r="B1835" s="11"/>
      <c r="C1835" s="11"/>
      <c r="D1835" s="11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</row>
    <row r="1836" spans="1:19" s="9" customFormat="1" x14ac:dyDescent="0.25">
      <c r="A1836" s="10"/>
      <c r="B1836" s="11"/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</row>
    <row r="1837" spans="1:19" s="9" customFormat="1" x14ac:dyDescent="0.25">
      <c r="A1837" s="10"/>
      <c r="B1837" s="11"/>
      <c r="C1837" s="11"/>
      <c r="D1837" s="11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</row>
    <row r="1838" spans="1:19" s="9" customFormat="1" x14ac:dyDescent="0.25">
      <c r="A1838" s="10"/>
      <c r="B1838" s="11"/>
      <c r="C1838" s="11"/>
      <c r="D1838" s="11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</row>
    <row r="1839" spans="1:19" s="9" customFormat="1" x14ac:dyDescent="0.25">
      <c r="A1839" s="10"/>
      <c r="B1839" s="11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</row>
    <row r="1840" spans="1:19" s="9" customFormat="1" x14ac:dyDescent="0.25">
      <c r="A1840" s="10"/>
      <c r="B1840" s="11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</row>
    <row r="1841" spans="1:19" s="9" customFormat="1" x14ac:dyDescent="0.25">
      <c r="A1841" s="10"/>
      <c r="B1841" s="11"/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</row>
    <row r="1842" spans="1:19" s="9" customFormat="1" x14ac:dyDescent="0.25">
      <c r="A1842" s="10"/>
      <c r="B1842" s="11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</row>
    <row r="1843" spans="1:19" s="9" customFormat="1" x14ac:dyDescent="0.25">
      <c r="A1843" s="10"/>
      <c r="B1843" s="11"/>
      <c r="C1843" s="11"/>
      <c r="D1843" s="11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</row>
    <row r="1844" spans="1:19" s="9" customFormat="1" x14ac:dyDescent="0.25">
      <c r="A1844" s="10"/>
      <c r="B1844" s="11"/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</row>
    <row r="1845" spans="1:19" s="9" customFormat="1" x14ac:dyDescent="0.25">
      <c r="A1845" s="10"/>
      <c r="B1845" s="11"/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</row>
    <row r="1846" spans="1:19" s="9" customFormat="1" x14ac:dyDescent="0.25">
      <c r="A1846" s="10"/>
      <c r="B1846" s="11"/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</row>
    <row r="1847" spans="1:19" s="9" customFormat="1" x14ac:dyDescent="0.25">
      <c r="A1847" s="10"/>
      <c r="B1847" s="11"/>
      <c r="C1847" s="11"/>
      <c r="D1847" s="11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</row>
    <row r="1848" spans="1:19" s="9" customFormat="1" x14ac:dyDescent="0.25">
      <c r="A1848" s="10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</row>
    <row r="1849" spans="1:19" s="9" customFormat="1" x14ac:dyDescent="0.25">
      <c r="A1849" s="10"/>
      <c r="B1849" s="11"/>
      <c r="C1849" s="11"/>
      <c r="D1849" s="11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</row>
    <row r="1850" spans="1:19" s="9" customFormat="1" x14ac:dyDescent="0.25">
      <c r="A1850" s="10"/>
      <c r="B1850" s="11"/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</row>
    <row r="1851" spans="1:19" s="9" customFormat="1" x14ac:dyDescent="0.25">
      <c r="A1851" s="10"/>
      <c r="B1851" s="11"/>
      <c r="C1851" s="11"/>
      <c r="D1851" s="11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</row>
    <row r="1852" spans="1:19" s="9" customFormat="1" x14ac:dyDescent="0.25">
      <c r="A1852" s="10"/>
      <c r="B1852" s="11"/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</row>
    <row r="1853" spans="1:19" s="9" customFormat="1" x14ac:dyDescent="0.25">
      <c r="A1853" s="10"/>
      <c r="B1853" s="11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</row>
    <row r="1854" spans="1:19" s="9" customFormat="1" x14ac:dyDescent="0.25">
      <c r="A1854" s="10"/>
      <c r="B1854" s="11"/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</row>
    <row r="1855" spans="1:19" s="9" customFormat="1" x14ac:dyDescent="0.25">
      <c r="A1855" s="10"/>
      <c r="B1855" s="11"/>
      <c r="C1855" s="11"/>
      <c r="D1855" s="11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</row>
    <row r="1856" spans="1:19" s="9" customFormat="1" x14ac:dyDescent="0.25">
      <c r="A1856" s="10"/>
      <c r="B1856" s="11"/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</row>
    <row r="1857" spans="1:19" s="9" customFormat="1" x14ac:dyDescent="0.25">
      <c r="A1857" s="10"/>
      <c r="B1857" s="11"/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</row>
    <row r="1858" spans="1:19" s="9" customFormat="1" x14ac:dyDescent="0.25">
      <c r="A1858" s="10"/>
      <c r="B1858" s="11"/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</row>
    <row r="1859" spans="1:19" s="9" customFormat="1" x14ac:dyDescent="0.25">
      <c r="A1859" s="10"/>
      <c r="B1859" s="11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</row>
    <row r="1860" spans="1:19" s="9" customFormat="1" x14ac:dyDescent="0.25">
      <c r="A1860" s="10"/>
      <c r="B1860" s="11"/>
      <c r="C1860" s="11"/>
      <c r="D1860" s="11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</row>
    <row r="1861" spans="1:19" s="9" customFormat="1" x14ac:dyDescent="0.25">
      <c r="A1861" s="10"/>
      <c r="B1861" s="11"/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</row>
    <row r="1862" spans="1:19" s="9" customFormat="1" x14ac:dyDescent="0.25">
      <c r="A1862" s="10"/>
      <c r="B1862" s="11"/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1"/>
    </row>
    <row r="1863" spans="1:19" s="9" customFormat="1" x14ac:dyDescent="0.25">
      <c r="A1863" s="10"/>
      <c r="B1863" s="11"/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</row>
    <row r="1864" spans="1:19" s="9" customFormat="1" x14ac:dyDescent="0.25">
      <c r="A1864" s="10"/>
      <c r="B1864" s="11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</row>
    <row r="1865" spans="1:19" s="9" customFormat="1" x14ac:dyDescent="0.25">
      <c r="A1865" s="10"/>
      <c r="B1865" s="11"/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</row>
    <row r="1866" spans="1:19" s="9" customFormat="1" x14ac:dyDescent="0.25">
      <c r="A1866" s="10"/>
      <c r="B1866" s="11"/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1"/>
    </row>
    <row r="1867" spans="1:19" s="9" customFormat="1" x14ac:dyDescent="0.25">
      <c r="A1867" s="10"/>
      <c r="B1867" s="11"/>
      <c r="C1867" s="11"/>
      <c r="D1867" s="11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</row>
    <row r="1868" spans="1:19" s="9" customFormat="1" x14ac:dyDescent="0.25">
      <c r="A1868" s="10"/>
      <c r="B1868" s="11"/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</row>
    <row r="1869" spans="1:19" s="9" customFormat="1" x14ac:dyDescent="0.25">
      <c r="A1869" s="10"/>
      <c r="B1869" s="11"/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1"/>
    </row>
    <row r="1870" spans="1:19" s="9" customFormat="1" x14ac:dyDescent="0.25">
      <c r="A1870" s="10"/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</row>
    <row r="1871" spans="1:19" s="9" customFormat="1" x14ac:dyDescent="0.25">
      <c r="A1871" s="10"/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</row>
    <row r="1872" spans="1:19" s="9" customFormat="1" x14ac:dyDescent="0.25">
      <c r="A1872" s="10"/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</row>
    <row r="1873" spans="1:19" s="9" customFormat="1" x14ac:dyDescent="0.25">
      <c r="A1873" s="10"/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</row>
    <row r="1874" spans="1:19" s="9" customFormat="1" x14ac:dyDescent="0.25">
      <c r="A1874" s="10"/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</row>
    <row r="1875" spans="1:19" s="9" customFormat="1" x14ac:dyDescent="0.25">
      <c r="A1875" s="10"/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</row>
    <row r="1876" spans="1:19" s="9" customFormat="1" x14ac:dyDescent="0.25">
      <c r="A1876" s="10"/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</row>
    <row r="1877" spans="1:19" s="9" customFormat="1" x14ac:dyDescent="0.25">
      <c r="A1877" s="10"/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1"/>
    </row>
    <row r="1878" spans="1:19" s="9" customFormat="1" x14ac:dyDescent="0.25">
      <c r="A1878" s="10"/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</row>
    <row r="1879" spans="1:19" s="9" customFormat="1" x14ac:dyDescent="0.25">
      <c r="A1879" s="10"/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</row>
    <row r="1880" spans="1:19" s="9" customFormat="1" x14ac:dyDescent="0.25">
      <c r="A1880" s="10"/>
      <c r="B1880" s="11"/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</row>
    <row r="1881" spans="1:19" s="9" customFormat="1" x14ac:dyDescent="0.25">
      <c r="A1881" s="10"/>
      <c r="B1881" s="11"/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</row>
    <row r="1882" spans="1:19" s="9" customFormat="1" x14ac:dyDescent="0.25">
      <c r="A1882" s="10"/>
      <c r="B1882" s="11"/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</row>
    <row r="1883" spans="1:19" s="9" customFormat="1" x14ac:dyDescent="0.25">
      <c r="A1883" s="10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</row>
    <row r="1884" spans="1:19" s="9" customFormat="1" x14ac:dyDescent="0.25">
      <c r="A1884" s="10"/>
      <c r="B1884" s="11"/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</row>
    <row r="1885" spans="1:19" s="9" customFormat="1" x14ac:dyDescent="0.25">
      <c r="A1885" s="10"/>
      <c r="B1885" s="11"/>
      <c r="C1885" s="11"/>
      <c r="D1885" s="11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</row>
    <row r="1886" spans="1:19" s="9" customFormat="1" x14ac:dyDescent="0.25">
      <c r="A1886" s="10"/>
      <c r="B1886" s="11"/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</row>
    <row r="1887" spans="1:19" s="9" customFormat="1" x14ac:dyDescent="0.25">
      <c r="A1887" s="10"/>
      <c r="B1887" s="11"/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</row>
    <row r="1888" spans="1:19" s="9" customFormat="1" x14ac:dyDescent="0.25">
      <c r="A1888" s="10"/>
      <c r="B1888" s="11"/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</row>
    <row r="1889" spans="1:19" s="9" customFormat="1" x14ac:dyDescent="0.25">
      <c r="A1889" s="10"/>
      <c r="B1889" s="11"/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</row>
    <row r="1890" spans="1:19" s="9" customFormat="1" x14ac:dyDescent="0.25">
      <c r="A1890" s="10"/>
      <c r="B1890" s="11"/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</row>
    <row r="1891" spans="1:19" s="9" customFormat="1" x14ac:dyDescent="0.25">
      <c r="A1891" s="10"/>
      <c r="B1891" s="11"/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</row>
    <row r="1892" spans="1:19" s="9" customFormat="1" x14ac:dyDescent="0.25">
      <c r="A1892" s="10"/>
      <c r="B1892" s="11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</row>
    <row r="1893" spans="1:19" s="9" customFormat="1" x14ac:dyDescent="0.25">
      <c r="A1893" s="10"/>
      <c r="B1893" s="11"/>
      <c r="C1893" s="11"/>
      <c r="D1893" s="11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</row>
    <row r="1894" spans="1:19" s="9" customFormat="1" x14ac:dyDescent="0.25">
      <c r="A1894" s="10"/>
      <c r="B1894" s="11"/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</row>
    <row r="1895" spans="1:19" s="9" customFormat="1" x14ac:dyDescent="0.25">
      <c r="A1895" s="10"/>
      <c r="B1895" s="11"/>
      <c r="C1895" s="11"/>
      <c r="D1895" s="11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</row>
    <row r="1896" spans="1:19" s="9" customFormat="1" x14ac:dyDescent="0.25">
      <c r="A1896" s="10"/>
      <c r="B1896" s="11"/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</row>
    <row r="1897" spans="1:19" s="9" customFormat="1" x14ac:dyDescent="0.25">
      <c r="A1897" s="10"/>
      <c r="B1897" s="11"/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</row>
    <row r="1898" spans="1:19" s="9" customFormat="1" x14ac:dyDescent="0.25">
      <c r="A1898" s="10"/>
      <c r="B1898" s="11"/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</row>
    <row r="1899" spans="1:19" s="9" customFormat="1" x14ac:dyDescent="0.25">
      <c r="A1899" s="10"/>
      <c r="B1899" s="11"/>
      <c r="C1899" s="11"/>
      <c r="D1899" s="11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</row>
    <row r="1900" spans="1:19" s="9" customFormat="1" x14ac:dyDescent="0.25">
      <c r="A1900" s="10"/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</row>
    <row r="1901" spans="1:19" s="9" customFormat="1" x14ac:dyDescent="0.25">
      <c r="A1901" s="10"/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</row>
    <row r="1902" spans="1:19" s="9" customFormat="1" x14ac:dyDescent="0.25">
      <c r="A1902" s="10"/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</row>
    <row r="1903" spans="1:19" s="9" customFormat="1" x14ac:dyDescent="0.25">
      <c r="A1903" s="10"/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</row>
    <row r="1904" spans="1:19" s="9" customFormat="1" x14ac:dyDescent="0.25">
      <c r="A1904" s="10"/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</row>
    <row r="1905" spans="1:19" s="9" customFormat="1" x14ac:dyDescent="0.25">
      <c r="A1905" s="10"/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</row>
    <row r="1906" spans="1:19" s="9" customFormat="1" x14ac:dyDescent="0.25">
      <c r="A1906" s="10"/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</row>
    <row r="1907" spans="1:19" s="9" customFormat="1" x14ac:dyDescent="0.25">
      <c r="A1907" s="10"/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</row>
    <row r="1908" spans="1:19" s="9" customFormat="1" x14ac:dyDescent="0.25">
      <c r="A1908" s="10"/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</row>
    <row r="1909" spans="1:19" s="9" customFormat="1" x14ac:dyDescent="0.25">
      <c r="A1909" s="10"/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</row>
    <row r="1910" spans="1:19" s="9" customFormat="1" x14ac:dyDescent="0.25">
      <c r="A1910" s="10"/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</row>
    <row r="1911" spans="1:19" s="9" customFormat="1" x14ac:dyDescent="0.25">
      <c r="A1911" s="10"/>
      <c r="B1911" s="11"/>
      <c r="C1911" s="11"/>
      <c r="D1911" s="11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</row>
    <row r="1912" spans="1:19" s="9" customFormat="1" x14ac:dyDescent="0.25">
      <c r="A1912" s="10"/>
      <c r="B1912" s="11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</row>
    <row r="1913" spans="1:19" s="9" customFormat="1" x14ac:dyDescent="0.25">
      <c r="A1913" s="10"/>
      <c r="B1913" s="11"/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</row>
    <row r="1914" spans="1:19" s="9" customFormat="1" x14ac:dyDescent="0.25">
      <c r="A1914" s="10"/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</row>
    <row r="1915" spans="1:19" s="9" customFormat="1" x14ac:dyDescent="0.25">
      <c r="A1915" s="10"/>
      <c r="B1915" s="11"/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</row>
    <row r="1916" spans="1:19" s="9" customFormat="1" x14ac:dyDescent="0.25">
      <c r="A1916" s="10"/>
      <c r="B1916" s="11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</row>
    <row r="1917" spans="1:19" s="9" customFormat="1" x14ac:dyDescent="0.25">
      <c r="A1917" s="10"/>
      <c r="B1917" s="11"/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</row>
    <row r="1918" spans="1:19" s="9" customFormat="1" x14ac:dyDescent="0.25">
      <c r="A1918" s="10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</row>
    <row r="1919" spans="1:19" s="9" customFormat="1" x14ac:dyDescent="0.25">
      <c r="A1919" s="10"/>
      <c r="B1919" s="11"/>
      <c r="C1919" s="11"/>
      <c r="D1919" s="11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</row>
    <row r="1920" spans="1:19" s="9" customFormat="1" x14ac:dyDescent="0.25">
      <c r="A1920" s="10"/>
      <c r="B1920" s="11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</row>
    <row r="1921" spans="1:19" s="9" customFormat="1" x14ac:dyDescent="0.25">
      <c r="A1921" s="10"/>
      <c r="B1921" s="11"/>
      <c r="C1921" s="11"/>
      <c r="D1921" s="11"/>
      <c r="E1921" s="11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</row>
    <row r="1922" spans="1:19" s="9" customFormat="1" x14ac:dyDescent="0.25">
      <c r="A1922" s="10"/>
      <c r="B1922" s="11"/>
      <c r="C1922" s="11"/>
      <c r="D1922" s="11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</row>
    <row r="1923" spans="1:19" s="9" customFormat="1" x14ac:dyDescent="0.25">
      <c r="A1923" s="10"/>
      <c r="B1923" s="11"/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</row>
    <row r="1924" spans="1:19" s="9" customFormat="1" x14ac:dyDescent="0.25">
      <c r="A1924" s="10"/>
      <c r="B1924" s="11"/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</row>
    <row r="1925" spans="1:19" s="9" customFormat="1" x14ac:dyDescent="0.25">
      <c r="A1925" s="10"/>
      <c r="B1925" s="11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</row>
    <row r="1926" spans="1:19" s="9" customFormat="1" x14ac:dyDescent="0.25">
      <c r="A1926" s="10"/>
      <c r="B1926" s="11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</row>
    <row r="1927" spans="1:19" s="9" customFormat="1" x14ac:dyDescent="0.25">
      <c r="A1927" s="10"/>
      <c r="B1927" s="11"/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</row>
    <row r="1928" spans="1:19" s="9" customFormat="1" x14ac:dyDescent="0.25">
      <c r="A1928" s="10"/>
      <c r="B1928" s="11"/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</row>
    <row r="1929" spans="1:19" s="9" customFormat="1" x14ac:dyDescent="0.25">
      <c r="A1929" s="10"/>
      <c r="B1929" s="11"/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</row>
    <row r="1930" spans="1:19" s="9" customFormat="1" x14ac:dyDescent="0.25">
      <c r="A1930" s="10"/>
      <c r="B1930" s="11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</row>
    <row r="1931" spans="1:19" s="9" customFormat="1" x14ac:dyDescent="0.25">
      <c r="A1931" s="10"/>
      <c r="B1931" s="11"/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</row>
    <row r="1932" spans="1:19" s="9" customFormat="1" x14ac:dyDescent="0.25">
      <c r="A1932" s="10"/>
      <c r="B1932" s="11"/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</row>
    <row r="1933" spans="1:19" s="9" customFormat="1" x14ac:dyDescent="0.25">
      <c r="A1933" s="10"/>
      <c r="B1933" s="11"/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</row>
    <row r="1934" spans="1:19" s="9" customFormat="1" x14ac:dyDescent="0.25">
      <c r="A1934" s="10"/>
      <c r="B1934" s="11"/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</row>
    <row r="1935" spans="1:19" s="9" customFormat="1" x14ac:dyDescent="0.25">
      <c r="A1935" s="10"/>
      <c r="B1935" s="11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</row>
    <row r="1936" spans="1:19" s="9" customFormat="1" x14ac:dyDescent="0.25">
      <c r="A1936" s="10"/>
      <c r="B1936" s="11"/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</row>
    <row r="1937" spans="1:19" s="9" customFormat="1" x14ac:dyDescent="0.25">
      <c r="A1937" s="10"/>
      <c r="B1937" s="11"/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</row>
    <row r="1938" spans="1:19" s="9" customFormat="1" x14ac:dyDescent="0.25">
      <c r="A1938" s="10"/>
      <c r="B1938" s="11"/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</row>
    <row r="1939" spans="1:19" s="9" customFormat="1" x14ac:dyDescent="0.25">
      <c r="A1939" s="10"/>
      <c r="B1939" s="11"/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</row>
    <row r="1940" spans="1:19" s="9" customFormat="1" x14ac:dyDescent="0.25">
      <c r="A1940" s="10"/>
      <c r="B1940" s="11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</row>
    <row r="1941" spans="1:19" s="9" customFormat="1" x14ac:dyDescent="0.25">
      <c r="A1941" s="10"/>
      <c r="B1941" s="11"/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</row>
    <row r="1942" spans="1:19" s="9" customFormat="1" x14ac:dyDescent="0.25">
      <c r="A1942" s="10"/>
      <c r="B1942" s="11"/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</row>
    <row r="1943" spans="1:19" s="9" customFormat="1" x14ac:dyDescent="0.25">
      <c r="A1943" s="10"/>
      <c r="B1943" s="11"/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</row>
    <row r="1944" spans="1:19" s="9" customFormat="1" x14ac:dyDescent="0.25">
      <c r="A1944" s="10"/>
      <c r="B1944" s="11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</row>
    <row r="1945" spans="1:19" s="9" customFormat="1" x14ac:dyDescent="0.25">
      <c r="A1945" s="10"/>
      <c r="B1945" s="11"/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</row>
    <row r="1946" spans="1:19" s="9" customFormat="1" x14ac:dyDescent="0.25">
      <c r="A1946" s="10"/>
      <c r="B1946" s="11"/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</row>
    <row r="1947" spans="1:19" s="9" customFormat="1" x14ac:dyDescent="0.25">
      <c r="A1947" s="10"/>
      <c r="B1947" s="11"/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</row>
    <row r="1948" spans="1:19" s="9" customFormat="1" x14ac:dyDescent="0.25">
      <c r="A1948" s="10"/>
      <c r="B1948" s="11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</row>
    <row r="1949" spans="1:19" s="9" customFormat="1" x14ac:dyDescent="0.25">
      <c r="A1949" s="10"/>
      <c r="B1949" s="11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</row>
    <row r="1950" spans="1:19" s="9" customFormat="1" x14ac:dyDescent="0.25">
      <c r="A1950" s="10"/>
      <c r="B1950" s="11"/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</row>
    <row r="1951" spans="1:19" s="9" customFormat="1" x14ac:dyDescent="0.25">
      <c r="A1951" s="10"/>
      <c r="B1951" s="11"/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</row>
    <row r="1952" spans="1:19" s="9" customFormat="1" x14ac:dyDescent="0.25">
      <c r="A1952" s="10"/>
      <c r="B1952" s="11"/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</row>
    <row r="1953" spans="1:19" s="9" customFormat="1" x14ac:dyDescent="0.25">
      <c r="A1953" s="10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</row>
    <row r="1954" spans="1:19" s="9" customFormat="1" x14ac:dyDescent="0.25">
      <c r="A1954" s="10"/>
      <c r="B1954" s="11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</row>
    <row r="1955" spans="1:19" s="9" customFormat="1" x14ac:dyDescent="0.25">
      <c r="A1955" s="10"/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</row>
    <row r="1956" spans="1:19" s="9" customFormat="1" x14ac:dyDescent="0.25">
      <c r="A1956" s="10"/>
      <c r="B1956" s="11"/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</row>
    <row r="1957" spans="1:19" s="9" customFormat="1" x14ac:dyDescent="0.25">
      <c r="A1957" s="10"/>
      <c r="B1957" s="11"/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</row>
    <row r="1958" spans="1:19" s="9" customFormat="1" x14ac:dyDescent="0.25">
      <c r="A1958" s="10"/>
      <c r="B1958" s="11"/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</row>
    <row r="1959" spans="1:19" s="9" customFormat="1" x14ac:dyDescent="0.25">
      <c r="A1959" s="10"/>
      <c r="B1959" s="11"/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</row>
    <row r="1960" spans="1:19" s="9" customFormat="1" x14ac:dyDescent="0.25">
      <c r="A1960" s="10"/>
      <c r="B1960" s="11"/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</row>
    <row r="1961" spans="1:19" s="9" customFormat="1" x14ac:dyDescent="0.25">
      <c r="A1961" s="10"/>
      <c r="B1961" s="11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</row>
    <row r="1962" spans="1:19" s="9" customFormat="1" x14ac:dyDescent="0.25">
      <c r="A1962" s="10"/>
      <c r="B1962" s="11"/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</row>
    <row r="1963" spans="1:19" s="9" customFormat="1" x14ac:dyDescent="0.25">
      <c r="A1963" s="10"/>
      <c r="B1963" s="11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</row>
    <row r="1964" spans="1:19" s="9" customFormat="1" x14ac:dyDescent="0.25">
      <c r="A1964" s="10"/>
      <c r="B1964" s="11"/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</row>
    <row r="1965" spans="1:19" s="9" customFormat="1" x14ac:dyDescent="0.25">
      <c r="A1965" s="10"/>
      <c r="B1965" s="11"/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</row>
    <row r="1966" spans="1:19" s="9" customFormat="1" x14ac:dyDescent="0.25">
      <c r="A1966" s="10"/>
      <c r="B1966" s="11"/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</row>
    <row r="1967" spans="1:19" s="9" customFormat="1" x14ac:dyDescent="0.25">
      <c r="A1967" s="10"/>
      <c r="B1967" s="11"/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</row>
    <row r="1968" spans="1:19" s="9" customFormat="1" x14ac:dyDescent="0.25">
      <c r="A1968" s="10"/>
      <c r="B1968" s="11"/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</row>
    <row r="1969" spans="1:19" s="9" customFormat="1" x14ac:dyDescent="0.25">
      <c r="A1969" s="10"/>
      <c r="B1969" s="11"/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</row>
    <row r="1970" spans="1:19" s="9" customFormat="1" x14ac:dyDescent="0.25">
      <c r="A1970" s="10"/>
      <c r="B1970" s="11"/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</row>
    <row r="1971" spans="1:19" s="9" customFormat="1" x14ac:dyDescent="0.25">
      <c r="A1971" s="10"/>
      <c r="B1971" s="11"/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</row>
    <row r="1972" spans="1:19" s="9" customFormat="1" x14ac:dyDescent="0.25">
      <c r="A1972" s="10"/>
      <c r="B1972" s="11"/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</row>
    <row r="1973" spans="1:19" s="9" customFormat="1" x14ac:dyDescent="0.25">
      <c r="A1973" s="10"/>
      <c r="B1973" s="11"/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</row>
    <row r="1974" spans="1:19" s="9" customFormat="1" x14ac:dyDescent="0.25">
      <c r="A1974" s="10"/>
      <c r="B1974" s="11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</row>
    <row r="1975" spans="1:19" s="9" customFormat="1" x14ac:dyDescent="0.25">
      <c r="A1975" s="10"/>
      <c r="B1975" s="11"/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</row>
    <row r="1976" spans="1:19" s="9" customFormat="1" x14ac:dyDescent="0.25">
      <c r="A1976" s="10"/>
      <c r="B1976" s="11"/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</row>
    <row r="1977" spans="1:19" s="9" customFormat="1" x14ac:dyDescent="0.25">
      <c r="A1977" s="10"/>
      <c r="B1977" s="11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</row>
    <row r="1978" spans="1:19" s="9" customFormat="1" x14ac:dyDescent="0.25">
      <c r="A1978" s="10"/>
      <c r="B1978" s="11"/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</row>
    <row r="1979" spans="1:19" s="9" customFormat="1" x14ac:dyDescent="0.25">
      <c r="A1979" s="10"/>
      <c r="B1979" s="11"/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</row>
    <row r="1980" spans="1:19" s="9" customFormat="1" x14ac:dyDescent="0.25">
      <c r="A1980" s="10"/>
      <c r="B1980" s="11"/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</row>
    <row r="1981" spans="1:19" s="9" customFormat="1" x14ac:dyDescent="0.25">
      <c r="A1981" s="10"/>
      <c r="B1981" s="11"/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</row>
    <row r="1982" spans="1:19" s="9" customFormat="1" x14ac:dyDescent="0.25">
      <c r="A1982" s="10"/>
      <c r="B1982" s="11"/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</row>
    <row r="1983" spans="1:19" s="9" customFormat="1" x14ac:dyDescent="0.25">
      <c r="A1983" s="10"/>
      <c r="B1983" s="11"/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</row>
    <row r="1984" spans="1:19" s="9" customFormat="1" x14ac:dyDescent="0.25">
      <c r="A1984" s="10"/>
      <c r="B1984" s="11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</row>
    <row r="1985" spans="1:19" s="9" customFormat="1" x14ac:dyDescent="0.25">
      <c r="A1985" s="10"/>
      <c r="B1985" s="11"/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</row>
    <row r="1986" spans="1:19" s="9" customFormat="1" x14ac:dyDescent="0.25">
      <c r="A1986" s="10"/>
      <c r="B1986" s="11"/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</row>
    <row r="1987" spans="1:19" s="9" customFormat="1" x14ac:dyDescent="0.25">
      <c r="A1987" s="10"/>
      <c r="B1987" s="11"/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</row>
    <row r="1988" spans="1:19" s="9" customFormat="1" x14ac:dyDescent="0.25">
      <c r="A1988" s="10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</row>
    <row r="1989" spans="1:19" s="9" customFormat="1" x14ac:dyDescent="0.25">
      <c r="A1989" s="10"/>
      <c r="B1989" s="11"/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</row>
    <row r="1990" spans="1:19" s="9" customFormat="1" x14ac:dyDescent="0.25">
      <c r="A1990" s="10"/>
      <c r="B1990" s="11"/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</row>
    <row r="1991" spans="1:19" s="9" customFormat="1" x14ac:dyDescent="0.25">
      <c r="A1991" s="10"/>
      <c r="B1991" s="11"/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</row>
    <row r="1992" spans="1:19" s="9" customFormat="1" x14ac:dyDescent="0.25">
      <c r="A1992" s="10"/>
      <c r="B1992" s="11"/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</row>
    <row r="1993" spans="1:19" s="9" customFormat="1" x14ac:dyDescent="0.25">
      <c r="A1993" s="10"/>
      <c r="B1993" s="11"/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</row>
    <row r="1994" spans="1:19" s="9" customFormat="1" x14ac:dyDescent="0.25">
      <c r="A1994" s="10"/>
      <c r="B1994" s="11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</row>
    <row r="1995" spans="1:19" s="9" customFormat="1" x14ac:dyDescent="0.25">
      <c r="A1995" s="10"/>
      <c r="B1995" s="11"/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</row>
    <row r="1996" spans="1:19" s="9" customFormat="1" x14ac:dyDescent="0.25">
      <c r="A1996" s="10"/>
      <c r="B1996" s="11"/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</row>
    <row r="1997" spans="1:19" s="9" customFormat="1" x14ac:dyDescent="0.25">
      <c r="A1997" s="10"/>
      <c r="B1997" s="11"/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</row>
    <row r="1998" spans="1:19" s="9" customFormat="1" x14ac:dyDescent="0.25">
      <c r="A1998" s="10"/>
      <c r="B1998" s="11"/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</row>
    <row r="1999" spans="1:19" s="9" customFormat="1" x14ac:dyDescent="0.25">
      <c r="A1999" s="10"/>
      <c r="B1999" s="11"/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</row>
    <row r="2000" spans="1:19" s="9" customFormat="1" x14ac:dyDescent="0.25">
      <c r="A2000" s="10"/>
      <c r="B2000" s="11"/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</row>
    <row r="2001" spans="1:19" s="9" customFormat="1" x14ac:dyDescent="0.25">
      <c r="A2001" s="10"/>
      <c r="B2001" s="11"/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</row>
    <row r="2002" spans="1:19" s="9" customFormat="1" x14ac:dyDescent="0.25">
      <c r="A2002" s="10"/>
      <c r="B2002" s="11"/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</row>
    <row r="2003" spans="1:19" s="9" customFormat="1" x14ac:dyDescent="0.25">
      <c r="A2003" s="10"/>
      <c r="B2003" s="11"/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</row>
    <row r="2004" spans="1:19" s="9" customFormat="1" x14ac:dyDescent="0.25">
      <c r="A2004" s="10"/>
      <c r="B2004" s="11"/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</row>
    <row r="2005" spans="1:19" s="9" customFormat="1" x14ac:dyDescent="0.25">
      <c r="A2005" s="10"/>
      <c r="B2005" s="11"/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</row>
    <row r="2006" spans="1:19" s="9" customFormat="1" x14ac:dyDescent="0.25">
      <c r="A2006" s="10"/>
      <c r="B2006" s="11"/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</row>
    <row r="2007" spans="1:19" s="9" customFormat="1" x14ac:dyDescent="0.25">
      <c r="A2007" s="10"/>
      <c r="B2007" s="11"/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</row>
    <row r="2008" spans="1:19" s="9" customFormat="1" x14ac:dyDescent="0.25">
      <c r="A2008" s="10"/>
      <c r="B2008" s="11"/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</row>
    <row r="2009" spans="1:19" s="9" customFormat="1" x14ac:dyDescent="0.25">
      <c r="A2009" s="10"/>
      <c r="B2009" s="11"/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</row>
    <row r="2010" spans="1:19" s="9" customFormat="1" x14ac:dyDescent="0.25">
      <c r="A2010" s="10"/>
      <c r="B2010" s="11"/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</row>
    <row r="2011" spans="1:19" s="9" customFormat="1" x14ac:dyDescent="0.25">
      <c r="A2011" s="10"/>
      <c r="B2011" s="11"/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</row>
    <row r="2012" spans="1:19" s="9" customFormat="1" x14ac:dyDescent="0.25">
      <c r="A2012" s="10"/>
      <c r="B2012" s="11"/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</row>
    <row r="2013" spans="1:19" s="9" customFormat="1" x14ac:dyDescent="0.25">
      <c r="A2013" s="10"/>
      <c r="B2013" s="11"/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</row>
    <row r="2014" spans="1:19" s="9" customFormat="1" x14ac:dyDescent="0.25">
      <c r="A2014" s="10"/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</row>
    <row r="2015" spans="1:19" s="9" customFormat="1" x14ac:dyDescent="0.25">
      <c r="A2015" s="10"/>
      <c r="B2015" s="11"/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</row>
    <row r="2016" spans="1:19" s="9" customFormat="1" x14ac:dyDescent="0.25">
      <c r="A2016" s="10"/>
      <c r="B2016" s="11"/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</row>
    <row r="2017" spans="1:19" s="9" customFormat="1" x14ac:dyDescent="0.25">
      <c r="A2017" s="10"/>
      <c r="B2017" s="11"/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</row>
    <row r="2018" spans="1:19" s="9" customFormat="1" x14ac:dyDescent="0.25">
      <c r="A2018" s="10"/>
      <c r="B2018" s="11"/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</row>
    <row r="2019" spans="1:19" s="9" customFormat="1" x14ac:dyDescent="0.25">
      <c r="A2019" s="10"/>
      <c r="B2019" s="11"/>
      <c r="C2019" s="11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</row>
    <row r="2020" spans="1:19" s="9" customFormat="1" x14ac:dyDescent="0.25">
      <c r="A2020" s="10"/>
      <c r="B2020" s="11"/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</row>
    <row r="2021" spans="1:19" s="9" customFormat="1" x14ac:dyDescent="0.25">
      <c r="A2021" s="10"/>
      <c r="B2021" s="11"/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</row>
    <row r="2022" spans="1:19" s="9" customFormat="1" x14ac:dyDescent="0.25">
      <c r="A2022" s="10"/>
      <c r="B2022" s="11"/>
      <c r="C2022" s="11"/>
      <c r="D2022" s="11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</row>
    <row r="2023" spans="1:19" s="9" customFormat="1" x14ac:dyDescent="0.25">
      <c r="A2023" s="10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</row>
    <row r="2024" spans="1:19" s="9" customFormat="1" x14ac:dyDescent="0.25">
      <c r="A2024" s="10"/>
      <c r="B2024" s="11"/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</row>
    <row r="2025" spans="1:19" s="9" customFormat="1" x14ac:dyDescent="0.25">
      <c r="A2025" s="10"/>
      <c r="B2025" s="11"/>
      <c r="C2025" s="11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</row>
    <row r="2026" spans="1:19" s="9" customFormat="1" x14ac:dyDescent="0.25">
      <c r="A2026" s="10"/>
      <c r="B2026" s="11"/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</row>
    <row r="2027" spans="1:19" s="9" customFormat="1" x14ac:dyDescent="0.25">
      <c r="A2027" s="10"/>
      <c r="B2027" s="11"/>
      <c r="C2027" s="11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</row>
    <row r="2028" spans="1:19" s="9" customFormat="1" x14ac:dyDescent="0.25">
      <c r="A2028" s="10"/>
      <c r="B2028" s="11"/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</row>
    <row r="2029" spans="1:19" s="9" customFormat="1" x14ac:dyDescent="0.25">
      <c r="A2029" s="10"/>
      <c r="B2029" s="11"/>
      <c r="C2029" s="11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</row>
    <row r="2030" spans="1:19" s="9" customFormat="1" x14ac:dyDescent="0.25">
      <c r="A2030" s="10"/>
      <c r="B2030" s="11"/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</row>
    <row r="2031" spans="1:19" s="9" customFormat="1" x14ac:dyDescent="0.25">
      <c r="A2031" s="10"/>
      <c r="B2031" s="11"/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</row>
    <row r="2032" spans="1:19" s="9" customFormat="1" x14ac:dyDescent="0.25">
      <c r="A2032" s="10"/>
      <c r="B2032" s="11"/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</row>
    <row r="2033" spans="1:19" s="9" customFormat="1" x14ac:dyDescent="0.25">
      <c r="A2033" s="10"/>
      <c r="B2033" s="11"/>
      <c r="C2033" s="11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</row>
    <row r="2034" spans="1:19" s="9" customFormat="1" x14ac:dyDescent="0.25">
      <c r="A2034" s="10"/>
      <c r="B2034" s="11"/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</row>
    <row r="2035" spans="1:19" s="9" customFormat="1" x14ac:dyDescent="0.25">
      <c r="A2035" s="10"/>
      <c r="B2035" s="11"/>
      <c r="C2035" s="11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</row>
    <row r="2036" spans="1:19" s="9" customFormat="1" x14ac:dyDescent="0.25">
      <c r="A2036" s="10"/>
      <c r="B2036" s="11"/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</row>
    <row r="2037" spans="1:19" s="9" customFormat="1" x14ac:dyDescent="0.25">
      <c r="A2037" s="10"/>
      <c r="B2037" s="11"/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</row>
    <row r="2038" spans="1:19" s="9" customFormat="1" x14ac:dyDescent="0.25">
      <c r="A2038" s="10"/>
      <c r="B2038" s="11"/>
      <c r="C2038" s="11"/>
      <c r="D2038" s="11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</row>
    <row r="2039" spans="1:19" s="9" customFormat="1" x14ac:dyDescent="0.25">
      <c r="A2039" s="10"/>
      <c r="B2039" s="11"/>
      <c r="C2039" s="11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</row>
    <row r="2040" spans="1:19" s="9" customFormat="1" x14ac:dyDescent="0.25">
      <c r="A2040" s="10"/>
      <c r="B2040" s="11"/>
      <c r="C2040" s="11"/>
      <c r="D2040" s="11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</row>
    <row r="2041" spans="1:19" s="9" customFormat="1" x14ac:dyDescent="0.25">
      <c r="A2041" s="10"/>
      <c r="B2041" s="11"/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</row>
    <row r="2042" spans="1:19" s="9" customFormat="1" x14ac:dyDescent="0.25">
      <c r="A2042" s="10"/>
      <c r="B2042" s="11"/>
      <c r="C2042" s="11"/>
      <c r="D2042" s="11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</row>
    <row r="2043" spans="1:19" s="9" customFormat="1" x14ac:dyDescent="0.25">
      <c r="A2043" s="10"/>
      <c r="B2043" s="11"/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</row>
    <row r="2044" spans="1:19" s="9" customFormat="1" x14ac:dyDescent="0.25">
      <c r="A2044" s="10"/>
      <c r="B2044" s="11"/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</row>
    <row r="2045" spans="1:19" s="9" customFormat="1" x14ac:dyDescent="0.25">
      <c r="A2045" s="10"/>
      <c r="B2045" s="11"/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</row>
    <row r="2046" spans="1:19" s="9" customFormat="1" x14ac:dyDescent="0.25">
      <c r="A2046" s="10"/>
      <c r="B2046" s="11"/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</row>
    <row r="2047" spans="1:19" s="9" customFormat="1" x14ac:dyDescent="0.25">
      <c r="A2047" s="10"/>
      <c r="B2047" s="11"/>
      <c r="C2047" s="11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</row>
    <row r="2048" spans="1:19" s="9" customFormat="1" x14ac:dyDescent="0.25">
      <c r="A2048" s="10"/>
      <c r="B2048" s="11"/>
      <c r="C2048" s="11"/>
      <c r="D2048" s="11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</row>
    <row r="2049" spans="1:19" s="9" customFormat="1" x14ac:dyDescent="0.25">
      <c r="A2049" s="10"/>
      <c r="B2049" s="11"/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</row>
    <row r="2050" spans="1:19" s="9" customFormat="1" x14ac:dyDescent="0.25">
      <c r="A2050" s="10"/>
      <c r="B2050" s="11"/>
      <c r="C2050" s="11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</row>
    <row r="2051" spans="1:19" s="9" customFormat="1" x14ac:dyDescent="0.25">
      <c r="A2051" s="10"/>
      <c r="B2051" s="11"/>
      <c r="C2051" s="11"/>
      <c r="D2051" s="11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</row>
    <row r="2052" spans="1:19" s="9" customFormat="1" x14ac:dyDescent="0.25">
      <c r="A2052" s="10"/>
      <c r="B2052" s="11"/>
      <c r="C2052" s="11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</row>
    <row r="2053" spans="1:19" s="9" customFormat="1" x14ac:dyDescent="0.25">
      <c r="A2053" s="10"/>
      <c r="B2053" s="11"/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</row>
    <row r="2054" spans="1:19" s="9" customFormat="1" x14ac:dyDescent="0.25">
      <c r="A2054" s="10"/>
      <c r="B2054" s="11"/>
      <c r="C2054" s="11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</row>
    <row r="2055" spans="1:19" s="9" customFormat="1" x14ac:dyDescent="0.25">
      <c r="A2055" s="10"/>
      <c r="B2055" s="11"/>
      <c r="C2055" s="11"/>
      <c r="D2055" s="11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</row>
    <row r="2056" spans="1:19" s="9" customFormat="1" x14ac:dyDescent="0.25">
      <c r="A2056" s="10"/>
      <c r="B2056" s="11"/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</row>
    <row r="2057" spans="1:19" s="9" customFormat="1" x14ac:dyDescent="0.25">
      <c r="A2057" s="10"/>
      <c r="B2057" s="11"/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1"/>
    </row>
    <row r="2058" spans="1:19" s="9" customFormat="1" x14ac:dyDescent="0.25">
      <c r="A2058" s="10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</row>
    <row r="2059" spans="1:19" s="9" customFormat="1" x14ac:dyDescent="0.25">
      <c r="A2059" s="10"/>
      <c r="B2059" s="11"/>
      <c r="C2059" s="11"/>
      <c r="D2059" s="11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</row>
    <row r="2060" spans="1:19" s="9" customFormat="1" x14ac:dyDescent="0.25">
      <c r="A2060" s="10"/>
      <c r="B2060" s="11"/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</row>
    <row r="2061" spans="1:19" s="9" customFormat="1" x14ac:dyDescent="0.25">
      <c r="A2061" s="10"/>
      <c r="B2061" s="11"/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</row>
    <row r="2062" spans="1:19" s="9" customFormat="1" x14ac:dyDescent="0.25">
      <c r="A2062" s="10"/>
      <c r="B2062" s="11"/>
      <c r="C2062" s="11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</row>
    <row r="2063" spans="1:19" s="9" customFormat="1" x14ac:dyDescent="0.25">
      <c r="A2063" s="10"/>
      <c r="B2063" s="11"/>
      <c r="C2063" s="11"/>
      <c r="D2063" s="11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</row>
    <row r="2064" spans="1:19" s="9" customFormat="1" x14ac:dyDescent="0.25">
      <c r="A2064" s="10"/>
      <c r="B2064" s="11"/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</row>
    <row r="2065" spans="1:19" s="9" customFormat="1" x14ac:dyDescent="0.25">
      <c r="A2065" s="10"/>
      <c r="B2065" s="11"/>
      <c r="C2065" s="11"/>
      <c r="D2065" s="11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</row>
    <row r="2066" spans="1:19" s="9" customFormat="1" x14ac:dyDescent="0.25">
      <c r="A2066" s="10"/>
      <c r="B2066" s="11"/>
      <c r="C2066" s="11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</row>
    <row r="2067" spans="1:19" s="9" customFormat="1" x14ac:dyDescent="0.25">
      <c r="A2067" s="10"/>
      <c r="B2067" s="11"/>
      <c r="C2067" s="11"/>
      <c r="D2067" s="11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</row>
    <row r="2068" spans="1:19" s="9" customFormat="1" x14ac:dyDescent="0.25">
      <c r="A2068" s="10"/>
      <c r="B2068" s="11"/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</row>
    <row r="2069" spans="1:19" s="9" customFormat="1" x14ac:dyDescent="0.25">
      <c r="A2069" s="10"/>
      <c r="B2069" s="11"/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</row>
    <row r="2070" spans="1:19" s="9" customFormat="1" x14ac:dyDescent="0.25">
      <c r="A2070" s="10"/>
      <c r="B2070" s="11"/>
      <c r="C2070" s="11"/>
      <c r="D2070" s="11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</row>
    <row r="2071" spans="1:19" s="9" customFormat="1" x14ac:dyDescent="0.25">
      <c r="A2071" s="10"/>
      <c r="B2071" s="11"/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</row>
    <row r="2072" spans="1:19" s="9" customFormat="1" x14ac:dyDescent="0.25">
      <c r="A2072" s="10"/>
      <c r="B2072" s="11"/>
      <c r="C2072" s="11"/>
      <c r="D2072" s="11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1"/>
    </row>
    <row r="2073" spans="1:19" s="9" customFormat="1" x14ac:dyDescent="0.25">
      <c r="A2073" s="10"/>
      <c r="B2073" s="11"/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</row>
    <row r="2074" spans="1:19" s="9" customFormat="1" x14ac:dyDescent="0.25">
      <c r="A2074" s="10"/>
      <c r="B2074" s="11"/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</row>
    <row r="2075" spans="1:19" s="9" customFormat="1" x14ac:dyDescent="0.25">
      <c r="A2075" s="10"/>
      <c r="B2075" s="11"/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</row>
    <row r="2076" spans="1:19" s="9" customFormat="1" x14ac:dyDescent="0.25">
      <c r="A2076" s="10"/>
      <c r="B2076" s="11"/>
      <c r="C2076" s="11"/>
      <c r="D2076" s="11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</row>
    <row r="2077" spans="1:19" s="9" customFormat="1" x14ac:dyDescent="0.25">
      <c r="A2077" s="10"/>
      <c r="B2077" s="11"/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</row>
    <row r="2078" spans="1:19" s="9" customFormat="1" x14ac:dyDescent="0.25">
      <c r="A2078" s="10"/>
      <c r="B2078" s="11"/>
      <c r="C2078" s="11"/>
      <c r="D2078" s="11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</row>
    <row r="2079" spans="1:19" s="9" customFormat="1" x14ac:dyDescent="0.25">
      <c r="A2079" s="10"/>
      <c r="B2079" s="11"/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</row>
    <row r="2080" spans="1:19" s="9" customFormat="1" x14ac:dyDescent="0.25">
      <c r="A2080" s="10"/>
      <c r="B2080" s="11"/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</row>
    <row r="2081" spans="1:19" s="9" customFormat="1" x14ac:dyDescent="0.25">
      <c r="A2081" s="10"/>
      <c r="B2081" s="11"/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</row>
    <row r="2082" spans="1:19" s="9" customFormat="1" x14ac:dyDescent="0.25">
      <c r="A2082" s="10"/>
      <c r="B2082" s="11"/>
      <c r="C2082" s="11"/>
      <c r="D2082" s="11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</row>
    <row r="2083" spans="1:19" s="9" customFormat="1" x14ac:dyDescent="0.25">
      <c r="A2083" s="10"/>
      <c r="B2083" s="11"/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</row>
    <row r="2084" spans="1:19" s="9" customFormat="1" x14ac:dyDescent="0.25">
      <c r="A2084" s="10"/>
      <c r="B2084" s="11"/>
      <c r="C2084" s="11"/>
      <c r="D2084" s="11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</row>
    <row r="2085" spans="1:19" s="9" customFormat="1" x14ac:dyDescent="0.25">
      <c r="A2085" s="10"/>
      <c r="B2085" s="11"/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</row>
    <row r="2086" spans="1:19" s="9" customFormat="1" x14ac:dyDescent="0.25">
      <c r="A2086" s="10"/>
      <c r="B2086" s="11"/>
      <c r="C2086" s="11"/>
      <c r="D2086" s="11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1"/>
    </row>
    <row r="2087" spans="1:19" s="9" customFormat="1" x14ac:dyDescent="0.25">
      <c r="A2087" s="10"/>
      <c r="B2087" s="11"/>
      <c r="C2087" s="11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1"/>
    </row>
    <row r="2088" spans="1:19" s="9" customFormat="1" x14ac:dyDescent="0.25">
      <c r="A2088" s="10"/>
      <c r="B2088" s="11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1"/>
    </row>
    <row r="2089" spans="1:19" s="9" customFormat="1" x14ac:dyDescent="0.25">
      <c r="A2089" s="10"/>
      <c r="B2089" s="11"/>
      <c r="C2089" s="11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</row>
    <row r="2090" spans="1:19" s="9" customFormat="1" x14ac:dyDescent="0.25">
      <c r="A2090" s="10"/>
      <c r="B2090" s="11"/>
      <c r="C2090" s="11"/>
      <c r="D2090" s="11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</row>
    <row r="2091" spans="1:19" s="9" customFormat="1" x14ac:dyDescent="0.25">
      <c r="A2091" s="10"/>
      <c r="B2091" s="11"/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</row>
    <row r="2092" spans="1:19" s="9" customFormat="1" x14ac:dyDescent="0.25">
      <c r="A2092" s="10"/>
      <c r="B2092" s="11"/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1"/>
    </row>
    <row r="2093" spans="1:19" s="9" customFormat="1" x14ac:dyDescent="0.25">
      <c r="A2093" s="10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</row>
    <row r="2094" spans="1:19" s="9" customFormat="1" x14ac:dyDescent="0.25">
      <c r="A2094" s="10"/>
      <c r="B2094" s="11"/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</row>
    <row r="2095" spans="1:19" s="9" customFormat="1" x14ac:dyDescent="0.25">
      <c r="A2095" s="10"/>
      <c r="B2095" s="11"/>
      <c r="C2095" s="11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</row>
    <row r="2096" spans="1:19" s="9" customFormat="1" x14ac:dyDescent="0.25">
      <c r="A2096" s="10"/>
      <c r="B2096" s="11"/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</row>
    <row r="2097" spans="1:19" s="9" customFormat="1" x14ac:dyDescent="0.25">
      <c r="A2097" s="10"/>
      <c r="B2097" s="11"/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1"/>
    </row>
    <row r="2098" spans="1:19" s="9" customFormat="1" x14ac:dyDescent="0.25">
      <c r="A2098" s="10"/>
      <c r="B2098" s="11"/>
      <c r="C2098" s="11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</row>
    <row r="2099" spans="1:19" s="9" customFormat="1" x14ac:dyDescent="0.25">
      <c r="A2099" s="10"/>
      <c r="B2099" s="11"/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1"/>
    </row>
    <row r="2100" spans="1:19" s="9" customFormat="1" x14ac:dyDescent="0.25">
      <c r="A2100" s="10"/>
      <c r="B2100" s="11"/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</row>
    <row r="2101" spans="1:19" s="9" customFormat="1" x14ac:dyDescent="0.25">
      <c r="A2101" s="10"/>
      <c r="B2101" s="11"/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1"/>
    </row>
    <row r="2102" spans="1:19" s="9" customFormat="1" x14ac:dyDescent="0.25">
      <c r="A2102" s="10"/>
      <c r="B2102" s="11"/>
      <c r="C2102" s="11"/>
      <c r="D2102" s="11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1"/>
    </row>
    <row r="2103" spans="1:19" s="9" customFormat="1" x14ac:dyDescent="0.25">
      <c r="A2103" s="10"/>
      <c r="B2103" s="11"/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</row>
    <row r="2104" spans="1:19" s="9" customFormat="1" x14ac:dyDescent="0.25">
      <c r="A2104" s="10"/>
      <c r="B2104" s="11"/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1"/>
    </row>
    <row r="2105" spans="1:19" s="9" customFormat="1" x14ac:dyDescent="0.25">
      <c r="A2105" s="10"/>
      <c r="B2105" s="11"/>
      <c r="C2105" s="11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</row>
    <row r="2106" spans="1:19" s="9" customFormat="1" x14ac:dyDescent="0.25">
      <c r="A2106" s="10"/>
      <c r="B2106" s="11"/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1"/>
    </row>
    <row r="2107" spans="1:19" s="9" customFormat="1" x14ac:dyDescent="0.25">
      <c r="A2107" s="10"/>
      <c r="B2107" s="11"/>
      <c r="C2107" s="11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</row>
    <row r="2108" spans="1:19" s="9" customFormat="1" x14ac:dyDescent="0.25">
      <c r="A2108" s="10"/>
      <c r="B2108" s="11"/>
      <c r="C2108" s="11"/>
      <c r="D2108" s="11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1"/>
    </row>
    <row r="2109" spans="1:19" s="9" customFormat="1" x14ac:dyDescent="0.25">
      <c r="A2109" s="10"/>
      <c r="B2109" s="11"/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</row>
    <row r="2110" spans="1:19" s="9" customFormat="1" x14ac:dyDescent="0.25">
      <c r="A2110" s="10"/>
      <c r="B2110" s="11"/>
      <c r="C2110" s="11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</row>
    <row r="2111" spans="1:19" s="9" customFormat="1" x14ac:dyDescent="0.25">
      <c r="A2111" s="10"/>
      <c r="B2111" s="11"/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1"/>
    </row>
    <row r="2112" spans="1:19" s="9" customFormat="1" x14ac:dyDescent="0.25">
      <c r="A2112" s="10"/>
      <c r="B2112" s="11"/>
      <c r="C2112" s="11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</row>
    <row r="2113" spans="1:19" s="9" customFormat="1" x14ac:dyDescent="0.25">
      <c r="A2113" s="10"/>
      <c r="B2113" s="11"/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</row>
    <row r="2114" spans="1:19" s="9" customFormat="1" x14ac:dyDescent="0.25">
      <c r="A2114" s="10"/>
      <c r="B2114" s="11"/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</row>
    <row r="2115" spans="1:19" s="9" customFormat="1" x14ac:dyDescent="0.25">
      <c r="A2115" s="10"/>
      <c r="B2115" s="11"/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1"/>
    </row>
    <row r="2116" spans="1:19" s="9" customFormat="1" x14ac:dyDescent="0.25">
      <c r="A2116" s="10"/>
      <c r="B2116" s="11"/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</row>
    <row r="2117" spans="1:19" s="9" customFormat="1" x14ac:dyDescent="0.25">
      <c r="A2117" s="10"/>
      <c r="B2117" s="11"/>
      <c r="C2117" s="11"/>
      <c r="D2117" s="11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1"/>
    </row>
    <row r="2118" spans="1:19" s="9" customFormat="1" x14ac:dyDescent="0.25">
      <c r="A2118" s="10"/>
      <c r="B2118" s="11"/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</row>
    <row r="2119" spans="1:19" s="9" customFormat="1" x14ac:dyDescent="0.25">
      <c r="A2119" s="10"/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</row>
    <row r="2120" spans="1:19" s="9" customFormat="1" x14ac:dyDescent="0.25">
      <c r="A2120" s="10"/>
      <c r="B2120" s="11"/>
      <c r="C2120" s="11"/>
      <c r="D2120" s="11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1"/>
    </row>
    <row r="2121" spans="1:19" s="9" customFormat="1" x14ac:dyDescent="0.25">
      <c r="A2121" s="10"/>
      <c r="B2121" s="11"/>
      <c r="C2121" s="11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</row>
    <row r="2122" spans="1:19" s="9" customFormat="1" x14ac:dyDescent="0.25">
      <c r="A2122" s="10"/>
      <c r="B2122" s="11"/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1"/>
    </row>
    <row r="2123" spans="1:19" s="9" customFormat="1" x14ac:dyDescent="0.25">
      <c r="A2123" s="10"/>
      <c r="B2123" s="11"/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</row>
    <row r="2124" spans="1:19" s="9" customFormat="1" x14ac:dyDescent="0.25">
      <c r="A2124" s="10"/>
      <c r="B2124" s="11"/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1"/>
    </row>
    <row r="2125" spans="1:19" s="9" customFormat="1" x14ac:dyDescent="0.25">
      <c r="A2125" s="10"/>
      <c r="B2125" s="11"/>
      <c r="C2125" s="11"/>
      <c r="D2125" s="11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1"/>
    </row>
    <row r="2126" spans="1:19" s="9" customFormat="1" x14ac:dyDescent="0.25">
      <c r="A2126" s="10"/>
      <c r="B2126" s="11"/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</row>
    <row r="2127" spans="1:19" s="9" customFormat="1" x14ac:dyDescent="0.25">
      <c r="A2127" s="10"/>
      <c r="B2127" s="11"/>
      <c r="C2127" s="11"/>
      <c r="D2127" s="11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1"/>
    </row>
    <row r="2128" spans="1:19" s="9" customFormat="1" x14ac:dyDescent="0.25">
      <c r="A2128" s="10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</row>
    <row r="2129" spans="1:19" s="9" customFormat="1" x14ac:dyDescent="0.25">
      <c r="A2129" s="10"/>
      <c r="B2129" s="11"/>
      <c r="C2129" s="11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</row>
    <row r="2130" spans="1:19" s="9" customFormat="1" x14ac:dyDescent="0.25">
      <c r="A2130" s="10"/>
      <c r="B2130" s="11"/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1"/>
    </row>
    <row r="2131" spans="1:19" s="9" customFormat="1" x14ac:dyDescent="0.25">
      <c r="A2131" s="10"/>
      <c r="B2131" s="11"/>
      <c r="C2131" s="11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1"/>
      <c r="S2131" s="11"/>
    </row>
    <row r="2132" spans="1:19" s="9" customFormat="1" x14ac:dyDescent="0.25">
      <c r="A2132" s="10"/>
      <c r="B2132" s="11"/>
      <c r="C2132" s="11"/>
      <c r="D2132" s="11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1"/>
    </row>
    <row r="2133" spans="1:19" s="9" customFormat="1" x14ac:dyDescent="0.25">
      <c r="A2133" s="10"/>
      <c r="B2133" s="11"/>
      <c r="C2133" s="11"/>
      <c r="D2133" s="11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1"/>
    </row>
    <row r="2134" spans="1:19" s="9" customFormat="1" x14ac:dyDescent="0.25">
      <c r="A2134" s="10"/>
      <c r="B2134" s="11"/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1"/>
      <c r="S2134" s="11"/>
    </row>
    <row r="2135" spans="1:19" s="9" customFormat="1" x14ac:dyDescent="0.25">
      <c r="A2135" s="10"/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1"/>
    </row>
    <row r="2136" spans="1:19" s="9" customFormat="1" x14ac:dyDescent="0.25">
      <c r="A2136" s="10"/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1"/>
    </row>
    <row r="2137" spans="1:19" s="9" customFormat="1" x14ac:dyDescent="0.25">
      <c r="A2137" s="10"/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</row>
    <row r="2138" spans="1:19" s="9" customFormat="1" x14ac:dyDescent="0.25">
      <c r="A2138" s="10"/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1"/>
    </row>
    <row r="2139" spans="1:19" s="9" customFormat="1" x14ac:dyDescent="0.25">
      <c r="A2139" s="10"/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</row>
    <row r="2140" spans="1:19" s="9" customFormat="1" x14ac:dyDescent="0.25">
      <c r="A2140" s="10"/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</row>
    <row r="2141" spans="1:19" s="9" customFormat="1" x14ac:dyDescent="0.25">
      <c r="A2141" s="10"/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</row>
    <row r="2142" spans="1:19" s="9" customFormat="1" x14ac:dyDescent="0.25">
      <c r="A2142" s="10"/>
      <c r="B2142" s="11"/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</row>
    <row r="2143" spans="1:19" s="9" customFormat="1" x14ac:dyDescent="0.25">
      <c r="A2143" s="10"/>
      <c r="B2143" s="11"/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</row>
    <row r="2144" spans="1:19" s="9" customFormat="1" x14ac:dyDescent="0.25">
      <c r="A2144" s="10"/>
      <c r="B2144" s="11"/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</row>
    <row r="2145" spans="1:19" s="9" customFormat="1" x14ac:dyDescent="0.25">
      <c r="A2145" s="10"/>
      <c r="B2145" s="11"/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</row>
    <row r="2146" spans="1:19" s="9" customFormat="1" x14ac:dyDescent="0.25">
      <c r="A2146" s="10"/>
      <c r="B2146" s="11"/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</row>
    <row r="2147" spans="1:19" s="9" customFormat="1" x14ac:dyDescent="0.25">
      <c r="A2147" s="10"/>
      <c r="B2147" s="11"/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</row>
    <row r="2148" spans="1:19" s="9" customFormat="1" x14ac:dyDescent="0.25">
      <c r="A2148" s="10"/>
      <c r="B2148" s="11"/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</row>
    <row r="2149" spans="1:19" s="9" customFormat="1" x14ac:dyDescent="0.25">
      <c r="A2149" s="10"/>
      <c r="B2149" s="11"/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</row>
    <row r="2150" spans="1:19" s="9" customFormat="1" x14ac:dyDescent="0.25">
      <c r="A2150" s="10"/>
      <c r="B2150" s="11"/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</row>
    <row r="2151" spans="1:19" s="9" customFormat="1" x14ac:dyDescent="0.25">
      <c r="A2151" s="10"/>
      <c r="B2151" s="11"/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</row>
    <row r="2152" spans="1:19" s="9" customFormat="1" x14ac:dyDescent="0.25">
      <c r="A2152" s="10"/>
      <c r="B2152" s="11"/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</row>
    <row r="2153" spans="1:19" s="9" customFormat="1" x14ac:dyDescent="0.25">
      <c r="A2153" s="10"/>
      <c r="B2153" s="11"/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</row>
    <row r="2154" spans="1:19" s="9" customFormat="1" x14ac:dyDescent="0.25">
      <c r="A2154" s="10"/>
      <c r="B2154" s="11"/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</row>
    <row r="2155" spans="1:19" s="9" customFormat="1" x14ac:dyDescent="0.25">
      <c r="A2155" s="10"/>
      <c r="B2155" s="11"/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1"/>
    </row>
    <row r="2156" spans="1:19" s="9" customFormat="1" x14ac:dyDescent="0.25">
      <c r="A2156" s="10"/>
      <c r="B2156" s="11"/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1"/>
    </row>
    <row r="2157" spans="1:19" s="9" customFormat="1" x14ac:dyDescent="0.25">
      <c r="A2157" s="10"/>
      <c r="B2157" s="11"/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1"/>
    </row>
    <row r="2158" spans="1:19" s="9" customFormat="1" x14ac:dyDescent="0.25">
      <c r="A2158" s="10"/>
      <c r="B2158" s="11"/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</row>
    <row r="2159" spans="1:19" s="9" customFormat="1" x14ac:dyDescent="0.25">
      <c r="A2159" s="10"/>
      <c r="B2159" s="11"/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1"/>
    </row>
    <row r="2160" spans="1:19" s="9" customFormat="1" x14ac:dyDescent="0.25">
      <c r="A2160" s="10"/>
      <c r="B2160" s="11"/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1"/>
    </row>
    <row r="2161" spans="1:19" s="9" customFormat="1" x14ac:dyDescent="0.25">
      <c r="A2161" s="10"/>
      <c r="B2161" s="11"/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</row>
    <row r="2162" spans="1:19" s="9" customFormat="1" x14ac:dyDescent="0.25">
      <c r="A2162" s="10"/>
      <c r="B2162" s="11"/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</row>
    <row r="2163" spans="1:19" s="9" customFormat="1" x14ac:dyDescent="0.25">
      <c r="A2163" s="10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1"/>
    </row>
    <row r="2164" spans="1:19" s="9" customFormat="1" x14ac:dyDescent="0.25">
      <c r="A2164" s="10"/>
      <c r="B2164" s="11"/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</row>
    <row r="2165" spans="1:19" s="9" customFormat="1" x14ac:dyDescent="0.25">
      <c r="A2165" s="10"/>
      <c r="B2165" s="11"/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1"/>
    </row>
    <row r="2166" spans="1:19" s="9" customFormat="1" x14ac:dyDescent="0.25">
      <c r="A2166" s="10"/>
      <c r="B2166" s="11"/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</row>
    <row r="2167" spans="1:19" s="9" customFormat="1" x14ac:dyDescent="0.25">
      <c r="A2167" s="10"/>
      <c r="B2167" s="11"/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1"/>
    </row>
    <row r="2168" spans="1:19" s="9" customFormat="1" x14ac:dyDescent="0.25">
      <c r="A2168" s="10"/>
      <c r="B2168" s="11"/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</row>
    <row r="2169" spans="1:19" s="9" customFormat="1" x14ac:dyDescent="0.25">
      <c r="A2169" s="10"/>
      <c r="B2169" s="11"/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1"/>
    </row>
    <row r="2170" spans="1:19" s="9" customFormat="1" x14ac:dyDescent="0.25">
      <c r="A2170" s="10"/>
      <c r="B2170" s="11"/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</row>
    <row r="2171" spans="1:19" s="9" customFormat="1" x14ac:dyDescent="0.25">
      <c r="A2171" s="10"/>
      <c r="B2171" s="11"/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1"/>
    </row>
    <row r="2172" spans="1:19" s="9" customFormat="1" x14ac:dyDescent="0.25">
      <c r="A2172" s="10"/>
      <c r="B2172" s="11"/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</row>
    <row r="2173" spans="1:19" s="9" customFormat="1" x14ac:dyDescent="0.25">
      <c r="A2173" s="10"/>
      <c r="B2173" s="11"/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</row>
    <row r="2174" spans="1:19" s="9" customFormat="1" x14ac:dyDescent="0.25">
      <c r="A2174" s="10"/>
      <c r="B2174" s="11"/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</row>
    <row r="2175" spans="1:19" s="9" customFormat="1" x14ac:dyDescent="0.25">
      <c r="A2175" s="10"/>
      <c r="B2175" s="11"/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</row>
    <row r="2176" spans="1:19" s="9" customFormat="1" x14ac:dyDescent="0.25">
      <c r="A2176" s="10"/>
      <c r="B2176" s="11"/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</row>
    <row r="2177" spans="1:19" s="9" customFormat="1" x14ac:dyDescent="0.25">
      <c r="A2177" s="10"/>
      <c r="B2177" s="11"/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</row>
    <row r="2178" spans="1:19" s="9" customFormat="1" x14ac:dyDescent="0.25">
      <c r="A2178" s="10"/>
      <c r="B2178" s="11"/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</row>
    <row r="2179" spans="1:19" s="9" customFormat="1" x14ac:dyDescent="0.25">
      <c r="A2179" s="10"/>
      <c r="B2179" s="11"/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</row>
    <row r="2180" spans="1:19" s="9" customFormat="1" x14ac:dyDescent="0.25">
      <c r="A2180" s="10"/>
      <c r="B2180" s="11"/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1"/>
      <c r="S2180" s="11"/>
    </row>
    <row r="2181" spans="1:19" s="9" customFormat="1" x14ac:dyDescent="0.25">
      <c r="A2181" s="10"/>
      <c r="B2181" s="11"/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1"/>
    </row>
    <row r="2182" spans="1:19" s="9" customFormat="1" x14ac:dyDescent="0.25">
      <c r="A2182" s="10"/>
      <c r="B2182" s="11"/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</row>
    <row r="2183" spans="1:19" s="9" customFormat="1" x14ac:dyDescent="0.25">
      <c r="A2183" s="10"/>
      <c r="B2183" s="11"/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</row>
    <row r="2184" spans="1:19" s="9" customFormat="1" x14ac:dyDescent="0.25">
      <c r="A2184" s="10"/>
      <c r="B2184" s="11"/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</row>
    <row r="2185" spans="1:19" s="9" customFormat="1" x14ac:dyDescent="0.25">
      <c r="A2185" s="10"/>
      <c r="B2185" s="11"/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</row>
    <row r="2186" spans="1:19" s="9" customFormat="1" x14ac:dyDescent="0.25">
      <c r="A2186" s="10"/>
      <c r="B2186" s="11"/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</row>
    <row r="2187" spans="1:19" s="9" customFormat="1" x14ac:dyDescent="0.25">
      <c r="A2187" s="10"/>
      <c r="B2187" s="11"/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1"/>
    </row>
    <row r="2188" spans="1:19" s="9" customFormat="1" x14ac:dyDescent="0.25">
      <c r="A2188" s="10"/>
      <c r="B2188" s="11"/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</row>
    <row r="2189" spans="1:19" s="9" customFormat="1" x14ac:dyDescent="0.25">
      <c r="A2189" s="10"/>
      <c r="B2189" s="11"/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</row>
    <row r="2190" spans="1:19" s="9" customFormat="1" x14ac:dyDescent="0.25">
      <c r="A2190" s="10"/>
      <c r="B2190" s="11"/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</row>
    <row r="2191" spans="1:19" s="9" customFormat="1" x14ac:dyDescent="0.25">
      <c r="A2191" s="10"/>
      <c r="B2191" s="11"/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</row>
    <row r="2192" spans="1:19" s="9" customFormat="1" x14ac:dyDescent="0.25">
      <c r="A2192" s="10"/>
      <c r="B2192" s="11"/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</row>
    <row r="2193" spans="1:19" s="9" customFormat="1" x14ac:dyDescent="0.25">
      <c r="A2193" s="10"/>
      <c r="B2193" s="11"/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1"/>
    </row>
    <row r="2194" spans="1:19" s="9" customFormat="1" x14ac:dyDescent="0.25">
      <c r="A2194" s="10"/>
      <c r="B2194" s="11"/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</row>
    <row r="2195" spans="1:19" s="9" customFormat="1" x14ac:dyDescent="0.25">
      <c r="A2195" s="10"/>
      <c r="B2195" s="11"/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</row>
    <row r="2196" spans="1:19" s="9" customFormat="1" x14ac:dyDescent="0.25">
      <c r="A2196" s="10"/>
      <c r="B2196" s="11"/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</row>
    <row r="2197" spans="1:19" s="9" customFormat="1" x14ac:dyDescent="0.25">
      <c r="A2197" s="10"/>
      <c r="B2197" s="11"/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</row>
    <row r="2198" spans="1:19" s="9" customFormat="1" x14ac:dyDescent="0.25">
      <c r="A2198" s="10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1"/>
      <c r="S2198" s="11"/>
    </row>
    <row r="2199" spans="1:19" s="9" customFormat="1" x14ac:dyDescent="0.25">
      <c r="A2199" s="10"/>
      <c r="B2199" s="11"/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</row>
    <row r="2200" spans="1:19" s="9" customFormat="1" x14ac:dyDescent="0.25">
      <c r="A2200" s="10"/>
      <c r="B2200" s="11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</row>
    <row r="2201" spans="1:19" s="9" customFormat="1" x14ac:dyDescent="0.25">
      <c r="A2201" s="10"/>
      <c r="B2201" s="11"/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</row>
    <row r="2202" spans="1:19" s="9" customFormat="1" x14ac:dyDescent="0.25">
      <c r="A2202" s="10"/>
      <c r="B2202" s="11"/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1"/>
    </row>
    <row r="2203" spans="1:19" s="9" customFormat="1" x14ac:dyDescent="0.25">
      <c r="A2203" s="10"/>
      <c r="B2203" s="11"/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</row>
    <row r="2204" spans="1:19" s="9" customFormat="1" x14ac:dyDescent="0.25">
      <c r="A2204" s="10"/>
      <c r="B2204" s="11"/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/>
      <c r="S2204" s="11"/>
    </row>
    <row r="2205" spans="1:19" s="9" customFormat="1" x14ac:dyDescent="0.25">
      <c r="A2205" s="10"/>
      <c r="B2205" s="11"/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</row>
    <row r="2206" spans="1:19" s="9" customFormat="1" x14ac:dyDescent="0.25">
      <c r="A2206" s="10"/>
      <c r="B2206" s="11"/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</row>
    <row r="2207" spans="1:19" s="9" customFormat="1" x14ac:dyDescent="0.25">
      <c r="A2207" s="10"/>
      <c r="B2207" s="11"/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</row>
    <row r="2208" spans="1:19" s="9" customFormat="1" x14ac:dyDescent="0.25">
      <c r="A2208" s="10"/>
      <c r="B2208" s="11"/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</row>
    <row r="2209" spans="1:19" s="9" customFormat="1" x14ac:dyDescent="0.25">
      <c r="A2209" s="10"/>
      <c r="B2209" s="11"/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</row>
    <row r="2210" spans="1:19" s="9" customFormat="1" x14ac:dyDescent="0.25">
      <c r="A2210" s="10"/>
      <c r="B2210" s="11"/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1"/>
    </row>
    <row r="2211" spans="1:19" s="9" customFormat="1" x14ac:dyDescent="0.25">
      <c r="A2211" s="10"/>
      <c r="B2211" s="11"/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</row>
    <row r="2212" spans="1:19" s="9" customFormat="1" x14ac:dyDescent="0.25">
      <c r="A2212" s="10"/>
      <c r="B2212" s="11"/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</row>
    <row r="2213" spans="1:19" s="9" customFormat="1" x14ac:dyDescent="0.25">
      <c r="A2213" s="10"/>
      <c r="B2213" s="11"/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</row>
    <row r="2214" spans="1:19" s="9" customFormat="1" x14ac:dyDescent="0.25">
      <c r="A2214" s="10"/>
      <c r="B2214" s="11"/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</row>
    <row r="2215" spans="1:19" s="9" customFormat="1" x14ac:dyDescent="0.25">
      <c r="A2215" s="10"/>
      <c r="B2215" s="11"/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1"/>
    </row>
    <row r="2216" spans="1:19" s="9" customFormat="1" x14ac:dyDescent="0.25">
      <c r="A2216" s="10"/>
      <c r="B2216" s="11"/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1"/>
    </row>
    <row r="2217" spans="1:19" s="9" customFormat="1" x14ac:dyDescent="0.25">
      <c r="A2217" s="10"/>
      <c r="B2217" s="11"/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</row>
    <row r="2218" spans="1:19" s="9" customFormat="1" x14ac:dyDescent="0.25">
      <c r="A2218" s="10"/>
      <c r="B2218" s="11"/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</row>
    <row r="2219" spans="1:19" s="9" customFormat="1" x14ac:dyDescent="0.25">
      <c r="A2219" s="10"/>
      <c r="B2219" s="11"/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1"/>
    </row>
    <row r="2220" spans="1:19" s="9" customFormat="1" x14ac:dyDescent="0.25">
      <c r="A2220" s="10"/>
      <c r="B2220" s="11"/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</row>
    <row r="2221" spans="1:19" s="9" customFormat="1" x14ac:dyDescent="0.25">
      <c r="A2221" s="10"/>
      <c r="B2221" s="11"/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</row>
    <row r="2222" spans="1:19" s="9" customFormat="1" x14ac:dyDescent="0.25">
      <c r="A2222" s="10"/>
      <c r="B2222" s="11"/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</row>
    <row r="2223" spans="1:19" s="9" customFormat="1" x14ac:dyDescent="0.25">
      <c r="A2223" s="10"/>
      <c r="B2223" s="11"/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</row>
    <row r="2224" spans="1:19" s="9" customFormat="1" x14ac:dyDescent="0.25">
      <c r="A2224" s="10"/>
      <c r="B2224" s="11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</row>
    <row r="2225" spans="1:19" s="9" customFormat="1" x14ac:dyDescent="0.25">
      <c r="A2225" s="10"/>
      <c r="B2225" s="11"/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</row>
    <row r="2226" spans="1:19" s="9" customFormat="1" x14ac:dyDescent="0.25">
      <c r="A2226" s="10"/>
      <c r="B2226" s="11"/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</row>
    <row r="2227" spans="1:19" s="9" customFormat="1" x14ac:dyDescent="0.25">
      <c r="A2227" s="10"/>
      <c r="B2227" s="11"/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</row>
    <row r="2228" spans="1:19" s="9" customFormat="1" x14ac:dyDescent="0.25">
      <c r="A2228" s="10"/>
      <c r="B2228" s="11"/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</row>
    <row r="2229" spans="1:19" s="9" customFormat="1" x14ac:dyDescent="0.25">
      <c r="A2229" s="10"/>
      <c r="B2229" s="11"/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</row>
    <row r="2230" spans="1:19" s="9" customFormat="1" x14ac:dyDescent="0.25">
      <c r="A2230" s="10"/>
      <c r="B2230" s="11"/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1"/>
    </row>
    <row r="2231" spans="1:19" s="9" customFormat="1" x14ac:dyDescent="0.25">
      <c r="A2231" s="10"/>
      <c r="B2231" s="11"/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1"/>
    </row>
    <row r="2232" spans="1:19" s="9" customFormat="1" x14ac:dyDescent="0.25">
      <c r="A2232" s="10"/>
      <c r="B2232" s="11"/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1"/>
    </row>
    <row r="2233" spans="1:19" s="9" customFormat="1" x14ac:dyDescent="0.25">
      <c r="A2233" s="10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</row>
    <row r="2234" spans="1:19" s="9" customFormat="1" x14ac:dyDescent="0.25">
      <c r="A2234" s="10"/>
      <c r="B2234" s="11"/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1"/>
    </row>
    <row r="2235" spans="1:19" s="9" customFormat="1" x14ac:dyDescent="0.25">
      <c r="A2235" s="10"/>
      <c r="B2235" s="11"/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1"/>
    </row>
    <row r="2236" spans="1:19" s="9" customFormat="1" x14ac:dyDescent="0.25">
      <c r="A2236" s="10"/>
      <c r="B2236" s="11"/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</row>
    <row r="2237" spans="1:19" s="9" customFormat="1" x14ac:dyDescent="0.25">
      <c r="A2237" s="10"/>
      <c r="B2237" s="11"/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1"/>
    </row>
    <row r="2238" spans="1:19" s="9" customFormat="1" x14ac:dyDescent="0.25">
      <c r="A2238" s="10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</row>
    <row r="2239" spans="1:19" s="9" customFormat="1" x14ac:dyDescent="0.25">
      <c r="A2239" s="10"/>
      <c r="B2239" s="11"/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</row>
    <row r="2240" spans="1:19" s="9" customFormat="1" x14ac:dyDescent="0.25">
      <c r="A2240" s="10"/>
      <c r="B2240" s="11"/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</row>
    <row r="2241" spans="1:19" s="9" customFormat="1" x14ac:dyDescent="0.25">
      <c r="A2241" s="10"/>
      <c r="B2241" s="11"/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1"/>
    </row>
    <row r="2242" spans="1:19" s="9" customFormat="1" x14ac:dyDescent="0.25">
      <c r="A2242" s="10"/>
      <c r="B2242" s="11"/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</row>
    <row r="2243" spans="1:19" s="9" customFormat="1" x14ac:dyDescent="0.25">
      <c r="A2243" s="10"/>
      <c r="B2243" s="11"/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1"/>
    </row>
    <row r="2244" spans="1:19" s="9" customFormat="1" x14ac:dyDescent="0.25">
      <c r="A2244" s="10"/>
      <c r="B2244" s="11"/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</row>
    <row r="2245" spans="1:19" s="9" customFormat="1" x14ac:dyDescent="0.25">
      <c r="A2245" s="10"/>
      <c r="B2245" s="11"/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1"/>
    </row>
    <row r="2246" spans="1:19" s="9" customFormat="1" x14ac:dyDescent="0.25">
      <c r="A2246" s="10"/>
      <c r="B2246" s="11"/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</row>
    <row r="2247" spans="1:19" s="9" customFormat="1" x14ac:dyDescent="0.25">
      <c r="A2247" s="10"/>
      <c r="B2247" s="11"/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</row>
    <row r="2248" spans="1:19" s="9" customFormat="1" x14ac:dyDescent="0.25">
      <c r="A2248" s="10"/>
      <c r="B2248" s="11"/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</row>
    <row r="2249" spans="1:19" s="9" customFormat="1" x14ac:dyDescent="0.25">
      <c r="A2249" s="10"/>
      <c r="B2249" s="11"/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</row>
    <row r="2250" spans="1:19" s="9" customFormat="1" x14ac:dyDescent="0.25">
      <c r="A2250" s="10"/>
      <c r="B2250" s="11"/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</row>
    <row r="2251" spans="1:19" s="9" customFormat="1" x14ac:dyDescent="0.25">
      <c r="A2251" s="10"/>
      <c r="B2251" s="11"/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1"/>
    </row>
    <row r="2252" spans="1:19" s="9" customFormat="1" x14ac:dyDescent="0.25">
      <c r="A2252" s="10"/>
      <c r="B2252" s="11"/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1"/>
    </row>
    <row r="2253" spans="1:19" s="9" customFormat="1" x14ac:dyDescent="0.25">
      <c r="A2253" s="10"/>
      <c r="B2253" s="11"/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1"/>
    </row>
    <row r="2254" spans="1:19" s="9" customFormat="1" x14ac:dyDescent="0.25">
      <c r="A2254" s="10"/>
      <c r="B2254" s="11"/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</row>
    <row r="2255" spans="1:19" s="9" customFormat="1" x14ac:dyDescent="0.25">
      <c r="A2255" s="10"/>
      <c r="B2255" s="11"/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1"/>
    </row>
    <row r="2256" spans="1:19" s="9" customFormat="1" x14ac:dyDescent="0.25">
      <c r="A2256" s="10"/>
      <c r="B2256" s="11"/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</row>
    <row r="2257" spans="1:19" s="9" customFormat="1" x14ac:dyDescent="0.25">
      <c r="A2257" s="10"/>
      <c r="B2257" s="11"/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1"/>
    </row>
    <row r="2258" spans="1:19" s="9" customFormat="1" x14ac:dyDescent="0.25">
      <c r="A2258" s="10"/>
      <c r="B2258" s="11"/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</row>
    <row r="2259" spans="1:19" s="9" customFormat="1" x14ac:dyDescent="0.25">
      <c r="A2259" s="10"/>
      <c r="B2259" s="11"/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1"/>
    </row>
    <row r="2260" spans="1:19" s="9" customFormat="1" x14ac:dyDescent="0.25">
      <c r="A2260" s="10"/>
      <c r="B2260" s="11"/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</row>
    <row r="2261" spans="1:19" s="9" customFormat="1" x14ac:dyDescent="0.25">
      <c r="A2261" s="10"/>
      <c r="B2261" s="11"/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</row>
    <row r="2262" spans="1:19" s="9" customFormat="1" x14ac:dyDescent="0.25">
      <c r="A2262" s="10"/>
      <c r="B2262" s="11"/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1"/>
    </row>
    <row r="2263" spans="1:19" s="9" customFormat="1" x14ac:dyDescent="0.25">
      <c r="A2263" s="10"/>
      <c r="B2263" s="11"/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1"/>
    </row>
    <row r="2264" spans="1:19" s="9" customFormat="1" x14ac:dyDescent="0.25">
      <c r="A2264" s="10"/>
      <c r="B2264" s="11"/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1"/>
    </row>
    <row r="2265" spans="1:19" s="9" customFormat="1" x14ac:dyDescent="0.25">
      <c r="A2265" s="10"/>
      <c r="B2265" s="11"/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</row>
    <row r="2266" spans="1:19" s="9" customFormat="1" x14ac:dyDescent="0.25">
      <c r="A2266" s="10"/>
      <c r="B2266" s="11"/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1"/>
    </row>
    <row r="2267" spans="1:19" s="9" customFormat="1" x14ac:dyDescent="0.25">
      <c r="A2267" s="10"/>
      <c r="B2267" s="11"/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</row>
    <row r="2268" spans="1:19" s="9" customFormat="1" x14ac:dyDescent="0.25">
      <c r="A2268" s="10"/>
      <c r="B2268" s="11"/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1"/>
    </row>
    <row r="2269" spans="1:19" s="9" customFormat="1" x14ac:dyDescent="0.25">
      <c r="A2269" s="10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1"/>
    </row>
    <row r="2270" spans="1:19" s="9" customFormat="1" x14ac:dyDescent="0.25">
      <c r="A2270" s="10"/>
      <c r="B2270" s="11"/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1"/>
    </row>
    <row r="2271" spans="1:19" s="9" customFormat="1" x14ac:dyDescent="0.25">
      <c r="A2271" s="10"/>
      <c r="B2271" s="11"/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</row>
    <row r="2272" spans="1:19" s="9" customFormat="1" x14ac:dyDescent="0.25">
      <c r="A2272" s="10"/>
      <c r="B2272" s="11"/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</row>
    <row r="2273" spans="1:19" s="9" customFormat="1" x14ac:dyDescent="0.25">
      <c r="A2273" s="10"/>
      <c r="B2273" s="11"/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1"/>
    </row>
    <row r="2274" spans="1:19" s="9" customFormat="1" x14ac:dyDescent="0.25">
      <c r="A2274" s="10"/>
      <c r="B2274" s="11"/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1"/>
    </row>
    <row r="2275" spans="1:19" s="9" customFormat="1" x14ac:dyDescent="0.25">
      <c r="A2275" s="10"/>
      <c r="B2275" s="11"/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1"/>
    </row>
    <row r="2276" spans="1:19" s="9" customFormat="1" x14ac:dyDescent="0.25">
      <c r="A2276" s="10"/>
      <c r="B2276" s="11"/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</row>
    <row r="2277" spans="1:19" s="9" customFormat="1" x14ac:dyDescent="0.25">
      <c r="A2277" s="10"/>
      <c r="B2277" s="11"/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</row>
    <row r="2278" spans="1:19" s="9" customFormat="1" x14ac:dyDescent="0.25">
      <c r="A2278" s="10"/>
      <c r="B2278" s="11"/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</row>
    <row r="2279" spans="1:19" s="9" customFormat="1" x14ac:dyDescent="0.25">
      <c r="A2279" s="10"/>
      <c r="B2279" s="11"/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1"/>
    </row>
    <row r="2280" spans="1:19" s="9" customFormat="1" x14ac:dyDescent="0.25">
      <c r="A2280" s="10"/>
      <c r="B2280" s="11"/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1"/>
    </row>
    <row r="2281" spans="1:19" s="9" customFormat="1" x14ac:dyDescent="0.25">
      <c r="A2281" s="10"/>
      <c r="B2281" s="11"/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1"/>
    </row>
    <row r="2282" spans="1:19" s="9" customFormat="1" x14ac:dyDescent="0.25">
      <c r="A2282" s="10"/>
      <c r="B2282" s="11"/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1"/>
    </row>
    <row r="2283" spans="1:19" s="9" customFormat="1" x14ac:dyDescent="0.25">
      <c r="A2283" s="10"/>
      <c r="B2283" s="11"/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</row>
    <row r="2284" spans="1:19" s="9" customFormat="1" x14ac:dyDescent="0.25">
      <c r="A2284" s="10"/>
      <c r="B2284" s="11"/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1"/>
    </row>
    <row r="2285" spans="1:19" s="9" customFormat="1" x14ac:dyDescent="0.25">
      <c r="A2285" s="10"/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1"/>
      <c r="S2285" s="11"/>
    </row>
    <row r="2286" spans="1:19" s="9" customFormat="1" x14ac:dyDescent="0.25">
      <c r="A2286" s="10"/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</row>
    <row r="2287" spans="1:19" s="9" customFormat="1" x14ac:dyDescent="0.25">
      <c r="A2287" s="10"/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</row>
    <row r="2288" spans="1:19" s="9" customFormat="1" x14ac:dyDescent="0.25">
      <c r="A2288" s="10"/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1"/>
    </row>
    <row r="2289" spans="1:19" s="9" customFormat="1" x14ac:dyDescent="0.25">
      <c r="A2289" s="10"/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1"/>
    </row>
    <row r="2290" spans="1:19" s="9" customFormat="1" x14ac:dyDescent="0.25">
      <c r="A2290" s="10"/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1"/>
    </row>
    <row r="2291" spans="1:19" s="9" customFormat="1" x14ac:dyDescent="0.25">
      <c r="A2291" s="10"/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1"/>
    </row>
    <row r="2292" spans="1:19" s="9" customFormat="1" x14ac:dyDescent="0.25">
      <c r="A2292" s="10"/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1"/>
    </row>
    <row r="2293" spans="1:19" s="9" customFormat="1" x14ac:dyDescent="0.25">
      <c r="A2293" s="10"/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1"/>
    </row>
    <row r="2294" spans="1:19" s="9" customFormat="1" x14ac:dyDescent="0.25">
      <c r="A2294" s="10"/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</row>
    <row r="2295" spans="1:19" s="9" customFormat="1" x14ac:dyDescent="0.25">
      <c r="A2295" s="10"/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</row>
    <row r="2296" spans="1:19" s="9" customFormat="1" x14ac:dyDescent="0.25">
      <c r="A2296" s="10"/>
      <c r="B2296" s="11"/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</row>
    <row r="2297" spans="1:19" s="9" customFormat="1" x14ac:dyDescent="0.25">
      <c r="A2297" s="10"/>
      <c r="B2297" s="11"/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</row>
    <row r="2298" spans="1:19" s="9" customFormat="1" x14ac:dyDescent="0.25">
      <c r="A2298" s="10"/>
      <c r="B2298" s="11"/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</row>
    <row r="2299" spans="1:19" s="9" customFormat="1" x14ac:dyDescent="0.25">
      <c r="A2299" s="10"/>
      <c r="B2299" s="11"/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1"/>
    </row>
    <row r="2300" spans="1:19" s="9" customFormat="1" x14ac:dyDescent="0.25">
      <c r="A2300" s="10"/>
      <c r="B2300" s="11"/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1"/>
    </row>
    <row r="2301" spans="1:19" s="9" customFormat="1" x14ac:dyDescent="0.25">
      <c r="A2301" s="10"/>
      <c r="B2301" s="11"/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1"/>
    </row>
    <row r="2302" spans="1:19" s="9" customFormat="1" x14ac:dyDescent="0.25">
      <c r="A2302" s="10"/>
      <c r="B2302" s="11"/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1"/>
    </row>
    <row r="2303" spans="1:19" s="9" customFormat="1" x14ac:dyDescent="0.25">
      <c r="A2303" s="10"/>
      <c r="B2303" s="11"/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</row>
    <row r="2304" spans="1:19" s="9" customFormat="1" x14ac:dyDescent="0.25">
      <c r="A2304" s="10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1"/>
    </row>
    <row r="2305" spans="1:19" s="9" customFormat="1" x14ac:dyDescent="0.25">
      <c r="A2305" s="10"/>
      <c r="B2305" s="11"/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</row>
    <row r="2306" spans="1:19" s="9" customFormat="1" x14ac:dyDescent="0.25">
      <c r="A2306" s="10"/>
      <c r="B2306" s="11"/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1"/>
    </row>
    <row r="2307" spans="1:19" s="9" customFormat="1" x14ac:dyDescent="0.25">
      <c r="A2307" s="10"/>
      <c r="B2307" s="11"/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</row>
    <row r="2308" spans="1:19" s="9" customFormat="1" x14ac:dyDescent="0.25">
      <c r="A2308" s="10"/>
      <c r="B2308" s="11"/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1"/>
    </row>
    <row r="2309" spans="1:19" s="9" customFormat="1" x14ac:dyDescent="0.25">
      <c r="A2309" s="10"/>
      <c r="B2309" s="11"/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</row>
    <row r="2310" spans="1:19" s="9" customFormat="1" x14ac:dyDescent="0.25">
      <c r="A2310" s="10"/>
      <c r="B2310" s="11"/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1"/>
    </row>
    <row r="2311" spans="1:19" s="9" customFormat="1" x14ac:dyDescent="0.25">
      <c r="A2311" s="10"/>
      <c r="B2311" s="11"/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</row>
    <row r="2312" spans="1:19" s="9" customFormat="1" x14ac:dyDescent="0.25">
      <c r="A2312" s="10"/>
      <c r="B2312" s="11"/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1"/>
    </row>
    <row r="2313" spans="1:19" s="9" customFormat="1" x14ac:dyDescent="0.25">
      <c r="A2313" s="10"/>
      <c r="B2313" s="11"/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1"/>
    </row>
    <row r="2314" spans="1:19" s="9" customFormat="1" x14ac:dyDescent="0.25">
      <c r="A2314" s="10"/>
      <c r="B2314" s="11"/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1"/>
    </row>
    <row r="2315" spans="1:19" s="9" customFormat="1" x14ac:dyDescent="0.25">
      <c r="A2315" s="10"/>
      <c r="B2315" s="11"/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1"/>
    </row>
    <row r="2316" spans="1:19" s="9" customFormat="1" x14ac:dyDescent="0.25">
      <c r="A2316" s="10"/>
      <c r="B2316" s="11"/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</row>
    <row r="2317" spans="1:19" s="9" customFormat="1" x14ac:dyDescent="0.25">
      <c r="A2317" s="10"/>
      <c r="B2317" s="11"/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</row>
    <row r="2318" spans="1:19" s="9" customFormat="1" x14ac:dyDescent="0.25">
      <c r="A2318" s="10"/>
      <c r="B2318" s="11"/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1"/>
    </row>
    <row r="2319" spans="1:19" s="9" customFormat="1" x14ac:dyDescent="0.25">
      <c r="A2319" s="10"/>
      <c r="B2319" s="11"/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1"/>
    </row>
    <row r="2320" spans="1:19" s="9" customFormat="1" x14ac:dyDescent="0.25">
      <c r="A2320" s="10"/>
      <c r="B2320" s="11"/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</row>
    <row r="2321" spans="1:19" s="9" customFormat="1" x14ac:dyDescent="0.25">
      <c r="A2321" s="10"/>
      <c r="B2321" s="11"/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1"/>
    </row>
    <row r="2322" spans="1:19" s="9" customFormat="1" x14ac:dyDescent="0.25">
      <c r="A2322" s="10"/>
      <c r="B2322" s="11"/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1"/>
    </row>
    <row r="2323" spans="1:19" s="9" customFormat="1" x14ac:dyDescent="0.25">
      <c r="A2323" s="10"/>
      <c r="B2323" s="11"/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</row>
    <row r="2324" spans="1:19" s="9" customFormat="1" x14ac:dyDescent="0.25">
      <c r="A2324" s="10"/>
      <c r="B2324" s="11"/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</row>
    <row r="2325" spans="1:19" s="9" customFormat="1" x14ac:dyDescent="0.25">
      <c r="A2325" s="10"/>
      <c r="B2325" s="11"/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</row>
    <row r="2326" spans="1:19" s="9" customFormat="1" x14ac:dyDescent="0.25">
      <c r="A2326" s="10"/>
      <c r="B2326" s="11"/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</row>
    <row r="2327" spans="1:19" s="9" customFormat="1" x14ac:dyDescent="0.25">
      <c r="A2327" s="10"/>
      <c r="B2327" s="11"/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</row>
    <row r="2328" spans="1:19" s="9" customFormat="1" x14ac:dyDescent="0.25">
      <c r="A2328" s="10"/>
      <c r="B2328" s="11"/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</row>
    <row r="2329" spans="1:19" s="9" customFormat="1" x14ac:dyDescent="0.25">
      <c r="A2329" s="10"/>
      <c r="B2329" s="11"/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1"/>
    </row>
    <row r="2330" spans="1:19" s="9" customFormat="1" x14ac:dyDescent="0.25">
      <c r="A2330" s="10"/>
      <c r="B2330" s="11"/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1"/>
    </row>
    <row r="2331" spans="1:19" s="9" customFormat="1" x14ac:dyDescent="0.25">
      <c r="A2331" s="10"/>
      <c r="B2331" s="11"/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</row>
    <row r="2332" spans="1:19" s="9" customFormat="1" x14ac:dyDescent="0.25">
      <c r="A2332" s="10"/>
      <c r="B2332" s="11"/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</row>
    <row r="2333" spans="1:19" s="9" customFormat="1" x14ac:dyDescent="0.25">
      <c r="A2333" s="10"/>
      <c r="B2333" s="11"/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1"/>
    </row>
    <row r="2334" spans="1:19" s="9" customFormat="1" x14ac:dyDescent="0.25">
      <c r="A2334" s="10"/>
      <c r="B2334" s="11"/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1"/>
    </row>
    <row r="2335" spans="1:19" s="9" customFormat="1" x14ac:dyDescent="0.25">
      <c r="A2335" s="10"/>
      <c r="B2335" s="11"/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1"/>
    </row>
    <row r="2336" spans="1:19" s="9" customFormat="1" x14ac:dyDescent="0.25">
      <c r="A2336" s="10"/>
      <c r="B2336" s="11"/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1"/>
    </row>
    <row r="2337" spans="1:19" s="9" customFormat="1" x14ac:dyDescent="0.25">
      <c r="A2337" s="10"/>
      <c r="B2337" s="11"/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</row>
    <row r="2338" spans="1:19" s="9" customFormat="1" x14ac:dyDescent="0.25">
      <c r="A2338" s="10"/>
      <c r="B2338" s="11"/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</row>
    <row r="2339" spans="1:19" s="9" customFormat="1" x14ac:dyDescent="0.25">
      <c r="A2339" s="10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1"/>
      <c r="S2339" s="11"/>
    </row>
    <row r="2340" spans="1:19" s="9" customFormat="1" x14ac:dyDescent="0.25">
      <c r="A2340" s="10"/>
      <c r="B2340" s="11"/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</row>
    <row r="2341" spans="1:19" s="9" customFormat="1" x14ac:dyDescent="0.25">
      <c r="A2341" s="10"/>
      <c r="B2341" s="11"/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1"/>
    </row>
    <row r="2342" spans="1:19" s="9" customFormat="1" x14ac:dyDescent="0.25">
      <c r="A2342" s="10"/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/>
      <c r="S2342" s="11"/>
    </row>
    <row r="2343" spans="1:19" s="9" customFormat="1" x14ac:dyDescent="0.25">
      <c r="A2343" s="10"/>
      <c r="B2343" s="11"/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1"/>
    </row>
    <row r="2344" spans="1:19" s="9" customFormat="1" x14ac:dyDescent="0.25">
      <c r="A2344" s="10"/>
      <c r="B2344" s="11"/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</row>
    <row r="2345" spans="1:19" s="9" customFormat="1" x14ac:dyDescent="0.25">
      <c r="A2345" s="10"/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1"/>
      <c r="S2345" s="11"/>
    </row>
    <row r="2346" spans="1:19" s="9" customFormat="1" x14ac:dyDescent="0.25">
      <c r="A2346" s="10"/>
      <c r="B2346" s="11"/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1"/>
    </row>
    <row r="2347" spans="1:19" s="9" customFormat="1" x14ac:dyDescent="0.25">
      <c r="A2347" s="10"/>
      <c r="B2347" s="11"/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1"/>
    </row>
    <row r="2348" spans="1:19" s="9" customFormat="1" x14ac:dyDescent="0.25">
      <c r="A2348" s="10"/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</row>
    <row r="2349" spans="1:19" s="9" customFormat="1" x14ac:dyDescent="0.25">
      <c r="A2349" s="10"/>
      <c r="B2349" s="11"/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</row>
    <row r="2350" spans="1:19" s="9" customFormat="1" x14ac:dyDescent="0.25">
      <c r="A2350" s="10"/>
      <c r="B2350" s="11"/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1"/>
    </row>
    <row r="2351" spans="1:19" s="9" customFormat="1" x14ac:dyDescent="0.25">
      <c r="A2351" s="10"/>
      <c r="B2351" s="11"/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1"/>
      <c r="S2351" s="11"/>
    </row>
    <row r="2352" spans="1:19" s="9" customFormat="1" x14ac:dyDescent="0.25">
      <c r="A2352" s="10"/>
      <c r="B2352" s="11"/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1"/>
    </row>
    <row r="2353" spans="1:19" s="9" customFormat="1" x14ac:dyDescent="0.25">
      <c r="A2353" s="10"/>
      <c r="B2353" s="11"/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1"/>
    </row>
    <row r="2354" spans="1:19" s="9" customFormat="1" x14ac:dyDescent="0.25">
      <c r="A2354" s="10"/>
      <c r="B2354" s="11"/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  <c r="R2354" s="11"/>
      <c r="S2354" s="11"/>
    </row>
    <row r="2355" spans="1:19" s="9" customFormat="1" x14ac:dyDescent="0.25">
      <c r="A2355" s="10"/>
      <c r="B2355" s="11"/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1"/>
    </row>
    <row r="2356" spans="1:19" s="9" customFormat="1" x14ac:dyDescent="0.25">
      <c r="A2356" s="10"/>
      <c r="B2356" s="11"/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</row>
    <row r="2357" spans="1:19" s="9" customFormat="1" x14ac:dyDescent="0.25">
      <c r="A2357" s="10"/>
      <c r="B2357" s="11"/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11"/>
      <c r="S2357" s="11"/>
    </row>
    <row r="2358" spans="1:19" s="9" customFormat="1" x14ac:dyDescent="0.25">
      <c r="A2358" s="10"/>
      <c r="B2358" s="11"/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1"/>
    </row>
    <row r="2359" spans="1:19" s="9" customFormat="1" x14ac:dyDescent="0.25">
      <c r="A2359" s="10"/>
      <c r="B2359" s="11"/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1"/>
    </row>
    <row r="2360" spans="1:19" s="9" customFormat="1" x14ac:dyDescent="0.25">
      <c r="A2360" s="10"/>
      <c r="B2360" s="11"/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</row>
    <row r="2361" spans="1:19" s="9" customFormat="1" x14ac:dyDescent="0.25">
      <c r="A2361" s="10"/>
      <c r="B2361" s="11"/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1"/>
    </row>
    <row r="2362" spans="1:19" s="9" customFormat="1" x14ac:dyDescent="0.25">
      <c r="A2362" s="10"/>
      <c r="B2362" s="11"/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</row>
    <row r="2363" spans="1:19" s="9" customFormat="1" x14ac:dyDescent="0.25">
      <c r="A2363" s="10"/>
      <c r="B2363" s="11"/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</row>
    <row r="2364" spans="1:19" s="9" customFormat="1" x14ac:dyDescent="0.25">
      <c r="A2364" s="10"/>
      <c r="B2364" s="11"/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1"/>
    </row>
    <row r="2365" spans="1:19" s="9" customFormat="1" x14ac:dyDescent="0.25">
      <c r="A2365" s="10"/>
      <c r="B2365" s="11"/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</row>
    <row r="2366" spans="1:19" s="9" customFormat="1" x14ac:dyDescent="0.25">
      <c r="A2366" s="10"/>
      <c r="B2366" s="11"/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1"/>
    </row>
    <row r="2367" spans="1:19" s="9" customFormat="1" x14ac:dyDescent="0.25">
      <c r="A2367" s="10"/>
      <c r="B2367" s="11"/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1"/>
    </row>
    <row r="2368" spans="1:19" s="9" customFormat="1" x14ac:dyDescent="0.25">
      <c r="A2368" s="10"/>
      <c r="B2368" s="11"/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</row>
    <row r="2369" spans="1:19" s="9" customFormat="1" x14ac:dyDescent="0.25">
      <c r="A2369" s="10"/>
      <c r="B2369" s="11"/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</row>
    <row r="2370" spans="1:19" s="9" customFormat="1" x14ac:dyDescent="0.25">
      <c r="A2370" s="10"/>
      <c r="B2370" s="11"/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1"/>
    </row>
    <row r="2371" spans="1:19" s="9" customFormat="1" x14ac:dyDescent="0.25">
      <c r="A2371" s="10"/>
      <c r="B2371" s="11"/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</row>
    <row r="2372" spans="1:19" s="9" customFormat="1" x14ac:dyDescent="0.25">
      <c r="A2372" s="10"/>
      <c r="B2372" s="11"/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</row>
    <row r="2373" spans="1:19" s="9" customFormat="1" x14ac:dyDescent="0.25">
      <c r="A2373" s="10"/>
      <c r="B2373" s="11"/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</row>
    <row r="2374" spans="1:19" s="9" customFormat="1" x14ac:dyDescent="0.25">
      <c r="A2374" s="10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</row>
    <row r="2375" spans="1:19" s="9" customFormat="1" x14ac:dyDescent="0.25">
      <c r="A2375" s="10"/>
      <c r="B2375" s="11"/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1"/>
    </row>
    <row r="2376" spans="1:19" s="9" customFormat="1" x14ac:dyDescent="0.25">
      <c r="A2376" s="10"/>
      <c r="B2376" s="11"/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1"/>
    </row>
    <row r="2377" spans="1:19" s="9" customFormat="1" x14ac:dyDescent="0.25">
      <c r="A2377" s="10"/>
      <c r="B2377" s="11"/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1"/>
    </row>
    <row r="2378" spans="1:19" s="9" customFormat="1" x14ac:dyDescent="0.25">
      <c r="A2378" s="10"/>
      <c r="B2378" s="11"/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</row>
    <row r="2379" spans="1:19" s="9" customFormat="1" x14ac:dyDescent="0.25">
      <c r="A2379" s="10"/>
      <c r="B2379" s="11"/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</row>
    <row r="2380" spans="1:19" s="9" customFormat="1" x14ac:dyDescent="0.25">
      <c r="A2380" s="10"/>
      <c r="B2380" s="11"/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</row>
    <row r="2381" spans="1:19" s="9" customFormat="1" x14ac:dyDescent="0.25">
      <c r="A2381" s="10"/>
      <c r="B2381" s="11"/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</row>
    <row r="2382" spans="1:19" s="9" customFormat="1" x14ac:dyDescent="0.25">
      <c r="A2382" s="10"/>
      <c r="B2382" s="11"/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</row>
    <row r="2383" spans="1:19" s="9" customFormat="1" x14ac:dyDescent="0.25">
      <c r="A2383" s="10"/>
      <c r="B2383" s="11"/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1"/>
    </row>
    <row r="2384" spans="1:19" s="9" customFormat="1" x14ac:dyDescent="0.25">
      <c r="A2384" s="10"/>
      <c r="B2384" s="11"/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</row>
    <row r="2385" spans="1:19" s="9" customFormat="1" x14ac:dyDescent="0.25">
      <c r="A2385" s="10"/>
      <c r="B2385" s="11"/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1"/>
    </row>
    <row r="2386" spans="1:19" s="9" customFormat="1" x14ac:dyDescent="0.25">
      <c r="A2386" s="10"/>
      <c r="B2386" s="11"/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</row>
    <row r="2387" spans="1:19" s="9" customFormat="1" x14ac:dyDescent="0.25">
      <c r="A2387" s="10"/>
      <c r="B2387" s="11"/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</row>
    <row r="2388" spans="1:19" s="9" customFormat="1" x14ac:dyDescent="0.25">
      <c r="A2388" s="10"/>
      <c r="B2388" s="11"/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</row>
    <row r="2389" spans="1:19" s="9" customFormat="1" x14ac:dyDescent="0.25">
      <c r="A2389" s="10"/>
      <c r="B2389" s="11"/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</row>
    <row r="2390" spans="1:19" s="9" customFormat="1" x14ac:dyDescent="0.25">
      <c r="A2390" s="10"/>
      <c r="B2390" s="11"/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</row>
    <row r="2391" spans="1:19" s="9" customFormat="1" x14ac:dyDescent="0.25">
      <c r="A2391" s="10"/>
      <c r="B2391" s="11"/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</row>
    <row r="2392" spans="1:19" s="9" customFormat="1" x14ac:dyDescent="0.25">
      <c r="A2392" s="10"/>
      <c r="B2392" s="11"/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</row>
    <row r="2393" spans="1:19" s="9" customFormat="1" x14ac:dyDescent="0.25">
      <c r="A2393" s="10"/>
      <c r="B2393" s="11"/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</row>
    <row r="2394" spans="1:19" s="9" customFormat="1" x14ac:dyDescent="0.25">
      <c r="A2394" s="10"/>
      <c r="B2394" s="11"/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1"/>
    </row>
    <row r="2395" spans="1:19" s="9" customFormat="1" x14ac:dyDescent="0.25">
      <c r="A2395" s="10"/>
      <c r="B2395" s="11"/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1"/>
    </row>
    <row r="2396" spans="1:19" s="9" customFormat="1" x14ac:dyDescent="0.25">
      <c r="A2396" s="10"/>
      <c r="B2396" s="11"/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</row>
    <row r="2397" spans="1:19" s="9" customFormat="1" x14ac:dyDescent="0.25">
      <c r="A2397" s="10"/>
      <c r="B2397" s="11"/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</row>
    <row r="2398" spans="1:19" s="9" customFormat="1" x14ac:dyDescent="0.25">
      <c r="A2398" s="10"/>
      <c r="B2398" s="11"/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</row>
    <row r="2399" spans="1:19" s="9" customFormat="1" x14ac:dyDescent="0.25">
      <c r="A2399" s="10"/>
      <c r="B2399" s="11"/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</row>
    <row r="2400" spans="1:19" s="9" customFormat="1" x14ac:dyDescent="0.25">
      <c r="A2400" s="10"/>
      <c r="B2400" s="11"/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</row>
    <row r="2401" spans="1:19" s="9" customFormat="1" x14ac:dyDescent="0.25">
      <c r="A2401" s="10"/>
      <c r="B2401" s="11"/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</row>
    <row r="2402" spans="1:19" s="9" customFormat="1" x14ac:dyDescent="0.25">
      <c r="A2402" s="10"/>
      <c r="B2402" s="11"/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</row>
    <row r="2403" spans="1:19" s="9" customFormat="1" x14ac:dyDescent="0.25">
      <c r="A2403" s="10"/>
      <c r="B2403" s="11"/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1"/>
    </row>
    <row r="2404" spans="1:19" s="9" customFormat="1" x14ac:dyDescent="0.25">
      <c r="A2404" s="10"/>
      <c r="B2404" s="11"/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</row>
    <row r="2405" spans="1:19" s="9" customFormat="1" x14ac:dyDescent="0.25">
      <c r="A2405" s="10"/>
      <c r="B2405" s="11"/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1"/>
    </row>
    <row r="2406" spans="1:19" s="9" customFormat="1" x14ac:dyDescent="0.25">
      <c r="A2406" s="10"/>
      <c r="B2406" s="11"/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1"/>
    </row>
    <row r="2407" spans="1:19" s="9" customFormat="1" x14ac:dyDescent="0.25">
      <c r="A2407" s="10"/>
      <c r="B2407" s="11"/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1"/>
    </row>
    <row r="2408" spans="1:19" s="9" customFormat="1" x14ac:dyDescent="0.25">
      <c r="A2408" s="10"/>
      <c r="B2408" s="11"/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1"/>
    </row>
    <row r="2409" spans="1:19" s="9" customFormat="1" x14ac:dyDescent="0.25">
      <c r="A2409" s="10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</row>
    <row r="2410" spans="1:19" s="9" customFormat="1" x14ac:dyDescent="0.25">
      <c r="A2410" s="10"/>
      <c r="B2410" s="11"/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1"/>
    </row>
    <row r="2411" spans="1:19" s="9" customFormat="1" x14ac:dyDescent="0.25">
      <c r="A2411" s="10"/>
      <c r="B2411" s="11"/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1"/>
    </row>
    <row r="2412" spans="1:19" s="9" customFormat="1" x14ac:dyDescent="0.25">
      <c r="A2412" s="10"/>
      <c r="B2412" s="11"/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1"/>
    </row>
    <row r="2413" spans="1:19" s="9" customFormat="1" x14ac:dyDescent="0.25">
      <c r="A2413" s="10"/>
      <c r="B2413" s="11"/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1"/>
    </row>
    <row r="2414" spans="1:19" s="9" customFormat="1" x14ac:dyDescent="0.25">
      <c r="A2414" s="10"/>
      <c r="B2414" s="11"/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1"/>
    </row>
    <row r="2415" spans="1:19" s="9" customFormat="1" x14ac:dyDescent="0.25">
      <c r="A2415" s="10"/>
      <c r="B2415" s="11"/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</row>
    <row r="2416" spans="1:19" s="9" customFormat="1" x14ac:dyDescent="0.25">
      <c r="A2416" s="10"/>
      <c r="B2416" s="11"/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</row>
    <row r="2417" spans="1:19" s="9" customFormat="1" x14ac:dyDescent="0.25">
      <c r="A2417" s="10"/>
      <c r="B2417" s="11"/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1"/>
    </row>
    <row r="2418" spans="1:19" s="9" customFormat="1" x14ac:dyDescent="0.25">
      <c r="A2418" s="10"/>
      <c r="B2418" s="11"/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1"/>
    </row>
    <row r="2419" spans="1:19" s="9" customFormat="1" x14ac:dyDescent="0.25">
      <c r="A2419" s="10"/>
      <c r="B2419" s="11"/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/>
    </row>
    <row r="2420" spans="1:19" s="9" customFormat="1" x14ac:dyDescent="0.25">
      <c r="A2420" s="10"/>
      <c r="B2420" s="11"/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1"/>
    </row>
    <row r="2421" spans="1:19" s="9" customFormat="1" x14ac:dyDescent="0.25">
      <c r="A2421" s="10"/>
      <c r="B2421" s="11"/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1"/>
    </row>
    <row r="2422" spans="1:19" s="9" customFormat="1" x14ac:dyDescent="0.25">
      <c r="A2422" s="10"/>
      <c r="B2422" s="11"/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1"/>
    </row>
    <row r="2423" spans="1:19" s="9" customFormat="1" x14ac:dyDescent="0.25">
      <c r="A2423" s="10"/>
      <c r="B2423" s="11"/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1"/>
    </row>
    <row r="2424" spans="1:19" s="9" customFormat="1" x14ac:dyDescent="0.25">
      <c r="A2424" s="10"/>
      <c r="B2424" s="11"/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1"/>
    </row>
    <row r="2425" spans="1:19" s="9" customFormat="1" x14ac:dyDescent="0.25">
      <c r="A2425" s="10"/>
      <c r="B2425" s="11"/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1"/>
    </row>
    <row r="2426" spans="1:19" s="9" customFormat="1" x14ac:dyDescent="0.25">
      <c r="A2426" s="10"/>
      <c r="B2426" s="11"/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</row>
    <row r="2427" spans="1:19" s="9" customFormat="1" x14ac:dyDescent="0.25">
      <c r="A2427" s="10"/>
      <c r="B2427" s="11"/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1"/>
    </row>
    <row r="2428" spans="1:19" s="9" customFormat="1" x14ac:dyDescent="0.25">
      <c r="A2428" s="10"/>
      <c r="B2428" s="11"/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</row>
    <row r="2429" spans="1:19" s="9" customFormat="1" x14ac:dyDescent="0.25">
      <c r="A2429" s="10"/>
      <c r="B2429" s="11"/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1"/>
    </row>
    <row r="2430" spans="1:19" s="9" customFormat="1" x14ac:dyDescent="0.25">
      <c r="A2430" s="10"/>
      <c r="B2430" s="11"/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</row>
    <row r="2431" spans="1:19" s="9" customFormat="1" x14ac:dyDescent="0.25">
      <c r="A2431" s="10"/>
      <c r="B2431" s="11"/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</row>
    <row r="2432" spans="1:19" s="9" customFormat="1" x14ac:dyDescent="0.25">
      <c r="A2432" s="10"/>
      <c r="B2432" s="11"/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</row>
    <row r="2433" spans="1:19" s="9" customFormat="1" x14ac:dyDescent="0.25">
      <c r="A2433" s="10"/>
      <c r="B2433" s="11"/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1"/>
    </row>
    <row r="2434" spans="1:19" s="9" customFormat="1" x14ac:dyDescent="0.25">
      <c r="A2434" s="10"/>
      <c r="B2434" s="11"/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</row>
    <row r="2435" spans="1:19" s="9" customFormat="1" x14ac:dyDescent="0.25">
      <c r="A2435" s="10"/>
      <c r="B2435" s="11"/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1"/>
    </row>
    <row r="2436" spans="1:19" s="9" customFormat="1" x14ac:dyDescent="0.25">
      <c r="A2436" s="10"/>
      <c r="B2436" s="11"/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1"/>
    </row>
    <row r="2437" spans="1:19" s="9" customFormat="1" x14ac:dyDescent="0.25">
      <c r="A2437" s="10"/>
      <c r="B2437" s="11"/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</row>
    <row r="2438" spans="1:19" s="9" customFormat="1" x14ac:dyDescent="0.25">
      <c r="A2438" s="10"/>
      <c r="B2438" s="11"/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1"/>
    </row>
    <row r="2439" spans="1:19" s="9" customFormat="1" x14ac:dyDescent="0.25">
      <c r="A2439" s="10"/>
      <c r="B2439" s="11"/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1"/>
    </row>
    <row r="2440" spans="1:19" s="9" customFormat="1" x14ac:dyDescent="0.25">
      <c r="A2440" s="10"/>
      <c r="B2440" s="11"/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1"/>
    </row>
    <row r="2441" spans="1:19" s="9" customFormat="1" x14ac:dyDescent="0.25">
      <c r="A2441" s="10"/>
      <c r="B2441" s="11"/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1"/>
    </row>
    <row r="2442" spans="1:19" s="9" customFormat="1" x14ac:dyDescent="0.25">
      <c r="A2442" s="10"/>
      <c r="B2442" s="11"/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</row>
    <row r="2443" spans="1:19" s="9" customFormat="1" x14ac:dyDescent="0.25">
      <c r="A2443" s="10"/>
      <c r="B2443" s="11"/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1"/>
    </row>
    <row r="2444" spans="1:19" s="9" customFormat="1" x14ac:dyDescent="0.25">
      <c r="A2444" s="10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</row>
    <row r="2445" spans="1:19" s="9" customFormat="1" x14ac:dyDescent="0.25">
      <c r="A2445" s="10"/>
      <c r="B2445" s="11"/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1"/>
    </row>
    <row r="2446" spans="1:19" s="9" customFormat="1" x14ac:dyDescent="0.25">
      <c r="A2446" s="10"/>
      <c r="B2446" s="11"/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1"/>
    </row>
    <row r="2447" spans="1:19" s="9" customFormat="1" x14ac:dyDescent="0.25">
      <c r="A2447" s="10"/>
      <c r="B2447" s="11"/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1"/>
    </row>
    <row r="2448" spans="1:19" s="9" customFormat="1" x14ac:dyDescent="0.25">
      <c r="A2448" s="10"/>
      <c r="B2448" s="11"/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</row>
    <row r="2449" spans="1:19" s="9" customFormat="1" x14ac:dyDescent="0.25">
      <c r="A2449" s="10"/>
      <c r="B2449" s="11"/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</row>
    <row r="2450" spans="1:19" s="9" customFormat="1" x14ac:dyDescent="0.25">
      <c r="A2450" s="10"/>
      <c r="B2450" s="11"/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1"/>
    </row>
    <row r="2451" spans="1:19" s="9" customFormat="1" x14ac:dyDescent="0.25">
      <c r="A2451" s="10"/>
      <c r="B2451" s="11"/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</row>
    <row r="2452" spans="1:19" s="9" customFormat="1" x14ac:dyDescent="0.25">
      <c r="A2452" s="10"/>
      <c r="B2452" s="11"/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</row>
    <row r="2453" spans="1:19" s="9" customFormat="1" x14ac:dyDescent="0.25">
      <c r="A2453" s="10"/>
      <c r="B2453" s="11"/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1"/>
    </row>
    <row r="2454" spans="1:19" s="9" customFormat="1" x14ac:dyDescent="0.25">
      <c r="A2454" s="10"/>
      <c r="B2454" s="11"/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1"/>
    </row>
    <row r="2455" spans="1:19" s="9" customFormat="1" x14ac:dyDescent="0.25">
      <c r="A2455" s="10"/>
      <c r="B2455" s="11"/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1"/>
    </row>
    <row r="2456" spans="1:19" s="9" customFormat="1" x14ac:dyDescent="0.25">
      <c r="A2456" s="10"/>
      <c r="B2456" s="11"/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1"/>
    </row>
    <row r="2457" spans="1:19" s="9" customFormat="1" x14ac:dyDescent="0.25">
      <c r="A2457" s="10"/>
      <c r="B2457" s="11"/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1"/>
    </row>
    <row r="2458" spans="1:19" s="9" customFormat="1" x14ac:dyDescent="0.25">
      <c r="A2458" s="10"/>
      <c r="B2458" s="11"/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1"/>
    </row>
    <row r="2459" spans="1:19" s="9" customFormat="1" x14ac:dyDescent="0.25">
      <c r="A2459" s="10"/>
      <c r="B2459" s="11"/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</row>
    <row r="2460" spans="1:19" s="9" customFormat="1" x14ac:dyDescent="0.25">
      <c r="A2460" s="10"/>
      <c r="B2460" s="11"/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1"/>
    </row>
    <row r="2461" spans="1:19" s="9" customFormat="1" x14ac:dyDescent="0.25">
      <c r="A2461" s="10"/>
      <c r="B2461" s="11"/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1"/>
    </row>
    <row r="2462" spans="1:19" s="9" customFormat="1" x14ac:dyDescent="0.25">
      <c r="A2462" s="10"/>
      <c r="B2462" s="11"/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1"/>
    </row>
    <row r="2463" spans="1:19" s="9" customFormat="1" x14ac:dyDescent="0.25">
      <c r="A2463" s="10"/>
      <c r="B2463" s="11"/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1"/>
    </row>
    <row r="2464" spans="1:19" s="9" customFormat="1" x14ac:dyDescent="0.25">
      <c r="A2464" s="10"/>
      <c r="B2464" s="11"/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/>
      <c r="S2464" s="11"/>
    </row>
    <row r="2465" spans="1:19" s="9" customFormat="1" x14ac:dyDescent="0.25">
      <c r="A2465" s="10"/>
      <c r="B2465" s="11"/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1"/>
    </row>
    <row r="2466" spans="1:19" s="9" customFormat="1" x14ac:dyDescent="0.25">
      <c r="A2466" s="10"/>
      <c r="B2466" s="11"/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1"/>
    </row>
    <row r="2467" spans="1:19" s="9" customFormat="1" x14ac:dyDescent="0.25">
      <c r="A2467" s="10"/>
      <c r="B2467" s="11"/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1"/>
      <c r="S2467" s="11"/>
    </row>
    <row r="2468" spans="1:19" s="9" customFormat="1" x14ac:dyDescent="0.25">
      <c r="A2468" s="10"/>
      <c r="B2468" s="11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1"/>
    </row>
    <row r="2469" spans="1:19" s="9" customFormat="1" x14ac:dyDescent="0.25">
      <c r="A2469" s="10"/>
      <c r="B2469" s="11"/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1"/>
    </row>
    <row r="2470" spans="1:19" s="9" customFormat="1" x14ac:dyDescent="0.25">
      <c r="A2470" s="10"/>
      <c r="B2470" s="11"/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</row>
    <row r="2471" spans="1:19" s="9" customFormat="1" x14ac:dyDescent="0.25">
      <c r="A2471" s="10"/>
      <c r="B2471" s="11"/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1"/>
    </row>
    <row r="2472" spans="1:19" s="9" customFormat="1" x14ac:dyDescent="0.25">
      <c r="A2472" s="10"/>
      <c r="B2472" s="11"/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1"/>
    </row>
    <row r="2473" spans="1:19" s="9" customFormat="1" x14ac:dyDescent="0.25">
      <c r="A2473" s="10"/>
      <c r="B2473" s="11"/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1"/>
      <c r="S2473" s="11"/>
    </row>
    <row r="2474" spans="1:19" s="9" customFormat="1" x14ac:dyDescent="0.25">
      <c r="A2474" s="10"/>
      <c r="B2474" s="11"/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1"/>
    </row>
    <row r="2475" spans="1:19" s="9" customFormat="1" x14ac:dyDescent="0.25">
      <c r="A2475" s="10"/>
      <c r="B2475" s="11"/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1"/>
    </row>
    <row r="2476" spans="1:19" s="9" customFormat="1" x14ac:dyDescent="0.25">
      <c r="A2476" s="10"/>
      <c r="B2476" s="11"/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1"/>
    </row>
    <row r="2477" spans="1:19" s="9" customFormat="1" x14ac:dyDescent="0.25">
      <c r="A2477" s="10"/>
      <c r="B2477" s="11"/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1"/>
    </row>
    <row r="2478" spans="1:19" s="9" customFormat="1" x14ac:dyDescent="0.25">
      <c r="A2478" s="10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1"/>
    </row>
    <row r="2479" spans="1:19" s="9" customFormat="1" x14ac:dyDescent="0.25">
      <c r="A2479" s="10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/>
    </row>
    <row r="2480" spans="1:19" s="9" customFormat="1" x14ac:dyDescent="0.25">
      <c r="A2480" s="10"/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1"/>
    </row>
    <row r="2481" spans="1:19" s="9" customFormat="1" x14ac:dyDescent="0.25">
      <c r="A2481" s="10"/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</row>
    <row r="2482" spans="1:19" s="9" customFormat="1" x14ac:dyDescent="0.25">
      <c r="A2482" s="10"/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1"/>
    </row>
    <row r="2483" spans="1:19" s="9" customFormat="1" x14ac:dyDescent="0.25">
      <c r="A2483" s="10"/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</row>
    <row r="2484" spans="1:19" s="9" customFormat="1" x14ac:dyDescent="0.25">
      <c r="A2484" s="10"/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</row>
    <row r="2485" spans="1:19" s="9" customFormat="1" x14ac:dyDescent="0.25">
      <c r="A2485" s="10"/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</row>
    <row r="2486" spans="1:19" s="9" customFormat="1" x14ac:dyDescent="0.25">
      <c r="A2486" s="10"/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1"/>
    </row>
    <row r="2487" spans="1:19" s="9" customFormat="1" x14ac:dyDescent="0.25">
      <c r="A2487" s="10"/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1"/>
    </row>
    <row r="2488" spans="1:19" s="9" customFormat="1" x14ac:dyDescent="0.25">
      <c r="A2488" s="10"/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</row>
    <row r="2489" spans="1:19" s="9" customFormat="1" x14ac:dyDescent="0.25">
      <c r="A2489" s="10"/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1"/>
    </row>
    <row r="2490" spans="1:19" s="9" customFormat="1" x14ac:dyDescent="0.25">
      <c r="A2490" s="10"/>
      <c r="B2490" s="11"/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1"/>
    </row>
    <row r="2491" spans="1:19" s="9" customFormat="1" x14ac:dyDescent="0.25">
      <c r="A2491" s="10"/>
      <c r="B2491" s="11"/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/>
    </row>
    <row r="2492" spans="1:19" s="9" customFormat="1" x14ac:dyDescent="0.25">
      <c r="A2492" s="10"/>
      <c r="B2492" s="11"/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</row>
    <row r="2493" spans="1:19" s="9" customFormat="1" x14ac:dyDescent="0.25">
      <c r="A2493" s="10"/>
      <c r="B2493" s="11"/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1"/>
    </row>
    <row r="2494" spans="1:19" s="9" customFormat="1" x14ac:dyDescent="0.25">
      <c r="A2494" s="10"/>
      <c r="B2494" s="11"/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1"/>
    </row>
    <row r="2495" spans="1:19" s="9" customFormat="1" x14ac:dyDescent="0.25">
      <c r="A2495" s="10"/>
      <c r="B2495" s="11"/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</row>
    <row r="2496" spans="1:19" s="9" customFormat="1" x14ac:dyDescent="0.25">
      <c r="A2496" s="10"/>
      <c r="B2496" s="11"/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1"/>
    </row>
    <row r="2497" spans="1:19" s="9" customFormat="1" x14ac:dyDescent="0.25">
      <c r="A2497" s="10"/>
      <c r="B2497" s="11"/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1"/>
    </row>
    <row r="2498" spans="1:19" s="9" customFormat="1" x14ac:dyDescent="0.25">
      <c r="A2498" s="10"/>
      <c r="B2498" s="11"/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</row>
    <row r="2499" spans="1:19" s="9" customFormat="1" x14ac:dyDescent="0.25">
      <c r="A2499" s="10"/>
      <c r="B2499" s="11"/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1"/>
    </row>
    <row r="2500" spans="1:19" s="9" customFormat="1" x14ac:dyDescent="0.25">
      <c r="A2500" s="10"/>
      <c r="B2500" s="11"/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1"/>
    </row>
    <row r="2501" spans="1:19" s="9" customFormat="1" x14ac:dyDescent="0.25">
      <c r="A2501" s="10"/>
      <c r="B2501" s="11"/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</row>
    <row r="2502" spans="1:19" s="9" customFormat="1" x14ac:dyDescent="0.25">
      <c r="A2502" s="10"/>
      <c r="B2502" s="11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</row>
    <row r="2503" spans="1:19" s="9" customFormat="1" x14ac:dyDescent="0.25">
      <c r="A2503" s="10"/>
      <c r="B2503" s="11"/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</row>
    <row r="2504" spans="1:19" s="9" customFormat="1" x14ac:dyDescent="0.25">
      <c r="A2504" s="10"/>
      <c r="B2504" s="11"/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1"/>
    </row>
    <row r="2505" spans="1:19" s="9" customFormat="1" x14ac:dyDescent="0.25">
      <c r="A2505" s="10"/>
      <c r="B2505" s="11"/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</row>
    <row r="2506" spans="1:19" s="9" customFormat="1" x14ac:dyDescent="0.25">
      <c r="A2506" s="10"/>
      <c r="B2506" s="11"/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1"/>
    </row>
    <row r="2507" spans="1:19" s="9" customFormat="1" x14ac:dyDescent="0.25">
      <c r="A2507" s="10"/>
      <c r="B2507" s="11"/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1"/>
    </row>
    <row r="2508" spans="1:19" s="9" customFormat="1" x14ac:dyDescent="0.25">
      <c r="A2508" s="10"/>
      <c r="B2508" s="11"/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1"/>
    </row>
    <row r="2509" spans="1:19" s="9" customFormat="1" x14ac:dyDescent="0.25">
      <c r="A2509" s="10"/>
      <c r="B2509" s="11"/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1"/>
    </row>
    <row r="2510" spans="1:19" s="9" customFormat="1" x14ac:dyDescent="0.25">
      <c r="A2510" s="10"/>
      <c r="B2510" s="11"/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1"/>
    </row>
    <row r="2511" spans="1:19" s="9" customFormat="1" x14ac:dyDescent="0.25">
      <c r="A2511" s="10"/>
      <c r="B2511" s="11"/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</row>
    <row r="2512" spans="1:19" s="9" customFormat="1" x14ac:dyDescent="0.25">
      <c r="A2512" s="10"/>
      <c r="B2512" s="11"/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</row>
    <row r="2513" spans="1:19" s="9" customFormat="1" x14ac:dyDescent="0.25">
      <c r="A2513" s="10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1"/>
    </row>
    <row r="2514" spans="1:19" s="9" customFormat="1" x14ac:dyDescent="0.25">
      <c r="A2514" s="10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</row>
    <row r="2515" spans="1:19" s="9" customFormat="1" x14ac:dyDescent="0.25">
      <c r="A2515" s="10"/>
      <c r="B2515" s="11"/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1"/>
      <c r="S2515" s="11"/>
    </row>
    <row r="2516" spans="1:19" s="9" customFormat="1" x14ac:dyDescent="0.25">
      <c r="A2516" s="10"/>
      <c r="B2516" s="11"/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1"/>
    </row>
    <row r="2517" spans="1:19" s="9" customFormat="1" x14ac:dyDescent="0.25">
      <c r="A2517" s="10"/>
      <c r="B2517" s="11"/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1"/>
    </row>
    <row r="2518" spans="1:19" s="9" customFormat="1" x14ac:dyDescent="0.25">
      <c r="A2518" s="10"/>
      <c r="B2518" s="11"/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1"/>
    </row>
    <row r="2519" spans="1:19" s="9" customFormat="1" x14ac:dyDescent="0.25">
      <c r="A2519" s="10"/>
      <c r="B2519" s="11"/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1"/>
    </row>
    <row r="2520" spans="1:19" s="9" customFormat="1" x14ac:dyDescent="0.25">
      <c r="A2520" s="10"/>
      <c r="B2520" s="11"/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1"/>
    </row>
    <row r="2521" spans="1:19" s="9" customFormat="1" x14ac:dyDescent="0.25">
      <c r="A2521" s="10"/>
      <c r="B2521" s="11"/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1"/>
    </row>
    <row r="2522" spans="1:19" s="9" customFormat="1" x14ac:dyDescent="0.25">
      <c r="A2522" s="10"/>
      <c r="B2522" s="11"/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1"/>
    </row>
    <row r="2523" spans="1:19" s="9" customFormat="1" x14ac:dyDescent="0.25">
      <c r="A2523" s="10"/>
      <c r="B2523" s="11"/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1"/>
    </row>
    <row r="2524" spans="1:19" s="9" customFormat="1" x14ac:dyDescent="0.25">
      <c r="A2524" s="10"/>
      <c r="B2524" s="11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1"/>
    </row>
    <row r="2525" spans="1:19" s="9" customFormat="1" x14ac:dyDescent="0.25">
      <c r="A2525" s="10"/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</row>
    <row r="2526" spans="1:19" s="9" customFormat="1" x14ac:dyDescent="0.25">
      <c r="A2526" s="10"/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1"/>
    </row>
    <row r="2527" spans="1:19" s="9" customFormat="1" x14ac:dyDescent="0.25">
      <c r="A2527" s="10"/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1"/>
    </row>
    <row r="2528" spans="1:19" s="9" customFormat="1" x14ac:dyDescent="0.25">
      <c r="A2528" s="10"/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1"/>
    </row>
    <row r="2529" spans="1:19" s="9" customFormat="1" x14ac:dyDescent="0.25">
      <c r="A2529" s="10"/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1"/>
    </row>
    <row r="2530" spans="1:19" s="9" customFormat="1" x14ac:dyDescent="0.25">
      <c r="A2530" s="10"/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1"/>
    </row>
    <row r="2531" spans="1:19" s="9" customFormat="1" x14ac:dyDescent="0.25">
      <c r="A2531" s="10"/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1"/>
    </row>
    <row r="2532" spans="1:19" s="9" customFormat="1" x14ac:dyDescent="0.25">
      <c r="A2532" s="10"/>
      <c r="B2532" s="11"/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1"/>
    </row>
    <row r="2533" spans="1:19" s="9" customFormat="1" x14ac:dyDescent="0.25">
      <c r="A2533" s="10"/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1"/>
    </row>
    <row r="2534" spans="1:19" s="9" customFormat="1" x14ac:dyDescent="0.25">
      <c r="A2534" s="10"/>
      <c r="B2534" s="11"/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1"/>
    </row>
    <row r="2535" spans="1:19" s="9" customFormat="1" x14ac:dyDescent="0.25">
      <c r="A2535" s="10"/>
      <c r="B2535" s="11"/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</row>
    <row r="2536" spans="1:19" s="9" customFormat="1" x14ac:dyDescent="0.25">
      <c r="A2536" s="10"/>
      <c r="B2536" s="11"/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</row>
    <row r="2537" spans="1:19" s="9" customFormat="1" x14ac:dyDescent="0.25">
      <c r="A2537" s="10"/>
      <c r="B2537" s="11"/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1"/>
    </row>
    <row r="2538" spans="1:19" s="9" customFormat="1" x14ac:dyDescent="0.25">
      <c r="A2538" s="10"/>
      <c r="B2538" s="11"/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1"/>
    </row>
    <row r="2539" spans="1:19" s="9" customFormat="1" x14ac:dyDescent="0.25">
      <c r="A2539" s="10"/>
      <c r="B2539" s="11"/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1"/>
    </row>
    <row r="2540" spans="1:19" s="9" customFormat="1" x14ac:dyDescent="0.25">
      <c r="A2540" s="10"/>
      <c r="B2540" s="11"/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1"/>
    </row>
    <row r="2541" spans="1:19" s="9" customFormat="1" x14ac:dyDescent="0.25">
      <c r="A2541" s="10"/>
      <c r="B2541" s="11"/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1"/>
    </row>
    <row r="2542" spans="1:19" s="9" customFormat="1" x14ac:dyDescent="0.25">
      <c r="A2542" s="10"/>
      <c r="B2542" s="11"/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1"/>
    </row>
    <row r="2543" spans="1:19" s="9" customFormat="1" x14ac:dyDescent="0.25">
      <c r="A2543" s="10"/>
      <c r="B2543" s="11"/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1"/>
    </row>
    <row r="2544" spans="1:19" s="9" customFormat="1" x14ac:dyDescent="0.25">
      <c r="A2544" s="10"/>
      <c r="B2544" s="11"/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1"/>
    </row>
    <row r="2545" spans="1:19" s="9" customFormat="1" x14ac:dyDescent="0.25">
      <c r="A2545" s="10"/>
      <c r="B2545" s="11"/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1"/>
    </row>
    <row r="2546" spans="1:19" s="9" customFormat="1" x14ac:dyDescent="0.25">
      <c r="A2546" s="10"/>
      <c r="B2546" s="11"/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1"/>
    </row>
    <row r="2547" spans="1:19" s="9" customFormat="1" x14ac:dyDescent="0.25">
      <c r="A2547" s="10"/>
      <c r="B2547" s="11"/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</row>
    <row r="2548" spans="1:19" s="9" customFormat="1" x14ac:dyDescent="0.25">
      <c r="A2548" s="10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</row>
    <row r="2549" spans="1:19" s="9" customFormat="1" x14ac:dyDescent="0.25">
      <c r="A2549" s="10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1"/>
    </row>
    <row r="2550" spans="1:19" s="9" customFormat="1" x14ac:dyDescent="0.25">
      <c r="A2550" s="10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1"/>
    </row>
    <row r="2551" spans="1:19" s="9" customFormat="1" x14ac:dyDescent="0.25">
      <c r="A2551" s="10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1"/>
    </row>
    <row r="2552" spans="1:19" s="9" customFormat="1" x14ac:dyDescent="0.25">
      <c r="A2552" s="10"/>
      <c r="B2552" s="11"/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1"/>
    </row>
    <row r="2553" spans="1:19" s="9" customFormat="1" x14ac:dyDescent="0.25">
      <c r="A2553" s="10"/>
      <c r="B2553" s="11"/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</row>
    <row r="2554" spans="1:19" s="9" customFormat="1" x14ac:dyDescent="0.25">
      <c r="A2554" s="10"/>
      <c r="B2554" s="11"/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1"/>
    </row>
    <row r="2555" spans="1:19" s="9" customFormat="1" x14ac:dyDescent="0.25">
      <c r="A2555" s="10"/>
      <c r="B2555" s="11"/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1"/>
    </row>
    <row r="2556" spans="1:19" s="9" customFormat="1" x14ac:dyDescent="0.25">
      <c r="A2556" s="10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</row>
    <row r="2557" spans="1:19" s="9" customFormat="1" x14ac:dyDescent="0.25">
      <c r="A2557" s="10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1"/>
    </row>
    <row r="2558" spans="1:19" s="9" customFormat="1" x14ac:dyDescent="0.25">
      <c r="A2558" s="10"/>
      <c r="B2558" s="11"/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</row>
    <row r="2559" spans="1:19" s="9" customFormat="1" x14ac:dyDescent="0.25">
      <c r="A2559" s="10"/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1"/>
    </row>
    <row r="2560" spans="1:19" s="9" customFormat="1" x14ac:dyDescent="0.25">
      <c r="A2560" s="10"/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</row>
    <row r="2561" spans="1:19" s="9" customFormat="1" x14ac:dyDescent="0.25">
      <c r="A2561" s="10"/>
      <c r="B2561" s="11"/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</row>
    <row r="2562" spans="1:19" s="9" customFormat="1" x14ac:dyDescent="0.25">
      <c r="A2562" s="10"/>
      <c r="B2562" s="11"/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1"/>
    </row>
    <row r="2563" spans="1:19" s="9" customFormat="1" x14ac:dyDescent="0.25">
      <c r="A2563" s="10"/>
      <c r="B2563" s="11"/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1"/>
    </row>
    <row r="2564" spans="1:19" s="9" customFormat="1" x14ac:dyDescent="0.25">
      <c r="A2564" s="10"/>
      <c r="B2564" s="11"/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1"/>
    </row>
    <row r="2565" spans="1:19" s="9" customFormat="1" x14ac:dyDescent="0.25">
      <c r="A2565" s="10"/>
      <c r="B2565" s="11"/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1"/>
    </row>
    <row r="2566" spans="1:19" s="9" customFormat="1" x14ac:dyDescent="0.25">
      <c r="A2566" s="10"/>
      <c r="B2566" s="11"/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1"/>
    </row>
    <row r="2567" spans="1:19" s="9" customFormat="1" x14ac:dyDescent="0.25">
      <c r="A2567" s="10"/>
      <c r="B2567" s="11"/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1"/>
    </row>
    <row r="2568" spans="1:19" s="9" customFormat="1" x14ac:dyDescent="0.25">
      <c r="A2568" s="10"/>
      <c r="B2568" s="11"/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1"/>
    </row>
    <row r="2569" spans="1:19" s="9" customFormat="1" x14ac:dyDescent="0.25">
      <c r="A2569" s="10"/>
      <c r="B2569" s="11"/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</row>
    <row r="2570" spans="1:19" s="9" customFormat="1" x14ac:dyDescent="0.25">
      <c r="A2570" s="10"/>
      <c r="B2570" s="11"/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1"/>
    </row>
    <row r="2571" spans="1:19" s="9" customFormat="1" x14ac:dyDescent="0.25">
      <c r="A2571" s="10"/>
      <c r="B2571" s="11"/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</row>
    <row r="2572" spans="1:19" s="9" customFormat="1" x14ac:dyDescent="0.25">
      <c r="A2572" s="10"/>
      <c r="B2572" s="11"/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</row>
    <row r="2573" spans="1:19" s="9" customFormat="1" x14ac:dyDescent="0.25">
      <c r="A2573" s="10"/>
      <c r="B2573" s="11"/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</row>
    <row r="2574" spans="1:19" s="9" customFormat="1" x14ac:dyDescent="0.25">
      <c r="A2574" s="10"/>
      <c r="B2574" s="11"/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1"/>
    </row>
    <row r="2575" spans="1:19" s="9" customFormat="1" x14ac:dyDescent="0.25">
      <c r="A2575" s="10"/>
      <c r="B2575" s="11"/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</row>
    <row r="2576" spans="1:19" s="9" customFormat="1" x14ac:dyDescent="0.25">
      <c r="A2576" s="10"/>
      <c r="B2576" s="11"/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</row>
    <row r="2577" spans="1:19" s="9" customFormat="1" x14ac:dyDescent="0.25">
      <c r="A2577" s="10"/>
      <c r="B2577" s="11"/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1"/>
    </row>
    <row r="2578" spans="1:19" s="9" customFormat="1" x14ac:dyDescent="0.25">
      <c r="A2578" s="10"/>
      <c r="B2578" s="11"/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1"/>
    </row>
    <row r="2579" spans="1:19" s="9" customFormat="1" x14ac:dyDescent="0.25">
      <c r="A2579" s="10"/>
      <c r="B2579" s="11"/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</row>
    <row r="2580" spans="1:19" s="9" customFormat="1" x14ac:dyDescent="0.25">
      <c r="A2580" s="10"/>
      <c r="B2580" s="11"/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</row>
    <row r="2581" spans="1:19" s="9" customFormat="1" x14ac:dyDescent="0.25">
      <c r="A2581" s="10"/>
      <c r="B2581" s="11"/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</row>
    <row r="2582" spans="1:19" s="9" customFormat="1" x14ac:dyDescent="0.25">
      <c r="A2582" s="10"/>
      <c r="B2582" s="11"/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</row>
    <row r="2583" spans="1:19" s="9" customFormat="1" x14ac:dyDescent="0.25">
      <c r="A2583" s="10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1"/>
    </row>
    <row r="2584" spans="1:19" s="9" customFormat="1" x14ac:dyDescent="0.25">
      <c r="A2584" s="10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</row>
    <row r="2585" spans="1:19" s="9" customFormat="1" x14ac:dyDescent="0.25">
      <c r="A2585" s="10"/>
      <c r="B2585" s="11"/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</row>
    <row r="2586" spans="1:19" s="9" customFormat="1" x14ac:dyDescent="0.25">
      <c r="A2586" s="10"/>
      <c r="B2586" s="11"/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</row>
    <row r="2587" spans="1:19" s="9" customFormat="1" x14ac:dyDescent="0.25">
      <c r="A2587" s="10"/>
      <c r="B2587" s="11"/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</row>
    <row r="2588" spans="1:19" s="9" customFormat="1" x14ac:dyDescent="0.25">
      <c r="A2588" s="10"/>
      <c r="B2588" s="11"/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1"/>
    </row>
    <row r="2589" spans="1:19" s="9" customFormat="1" x14ac:dyDescent="0.25">
      <c r="A2589" s="10"/>
      <c r="B2589" s="11"/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</row>
    <row r="2590" spans="1:19" s="9" customFormat="1" x14ac:dyDescent="0.25">
      <c r="A2590" s="10"/>
      <c r="B2590" s="11"/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</row>
    <row r="2591" spans="1:19" s="9" customFormat="1" x14ac:dyDescent="0.25">
      <c r="A2591" s="10"/>
      <c r="B2591" s="11"/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</row>
    <row r="2592" spans="1:19" s="9" customFormat="1" x14ac:dyDescent="0.25">
      <c r="A2592" s="10"/>
      <c r="B2592" s="11"/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</row>
    <row r="2593" spans="1:19" s="9" customFormat="1" x14ac:dyDescent="0.25">
      <c r="A2593" s="10"/>
      <c r="B2593" s="11"/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</row>
    <row r="2594" spans="1:19" s="9" customFormat="1" x14ac:dyDescent="0.25">
      <c r="A2594" s="10"/>
      <c r="B2594" s="11"/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</row>
    <row r="2595" spans="1:19" s="9" customFormat="1" x14ac:dyDescent="0.25">
      <c r="A2595" s="10"/>
      <c r="B2595" s="11"/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</row>
    <row r="2596" spans="1:19" s="9" customFormat="1" x14ac:dyDescent="0.25">
      <c r="A2596" s="10"/>
      <c r="B2596" s="11"/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</row>
    <row r="2597" spans="1:19" s="9" customFormat="1" x14ac:dyDescent="0.25">
      <c r="A2597" s="10"/>
      <c r="B2597" s="11"/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1"/>
    </row>
    <row r="2598" spans="1:19" s="9" customFormat="1" x14ac:dyDescent="0.25">
      <c r="A2598" s="10"/>
      <c r="B2598" s="11"/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1"/>
    </row>
    <row r="2599" spans="1:19" s="9" customFormat="1" x14ac:dyDescent="0.25">
      <c r="A2599" s="10"/>
      <c r="B2599" s="11"/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1"/>
    </row>
    <row r="2600" spans="1:19" s="9" customFormat="1" x14ac:dyDescent="0.25">
      <c r="A2600" s="10"/>
      <c r="B2600" s="11"/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1"/>
    </row>
    <row r="2601" spans="1:19" s="9" customFormat="1" x14ac:dyDescent="0.25">
      <c r="A2601" s="10"/>
      <c r="B2601" s="11"/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</row>
    <row r="2602" spans="1:19" s="9" customFormat="1" x14ac:dyDescent="0.25">
      <c r="A2602" s="10"/>
      <c r="B2602" s="11"/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</row>
    <row r="2603" spans="1:19" s="9" customFormat="1" x14ac:dyDescent="0.25">
      <c r="A2603" s="10"/>
      <c r="B2603" s="11"/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1"/>
    </row>
    <row r="2604" spans="1:19" s="9" customFormat="1" x14ac:dyDescent="0.25">
      <c r="A2604" s="10"/>
      <c r="B2604" s="11"/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</row>
    <row r="2605" spans="1:19" s="9" customFormat="1" x14ac:dyDescent="0.25">
      <c r="A2605" s="10"/>
      <c r="B2605" s="11"/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</row>
    <row r="2606" spans="1:19" s="9" customFormat="1" x14ac:dyDescent="0.25">
      <c r="A2606" s="10"/>
      <c r="B2606" s="11"/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1"/>
    </row>
    <row r="2607" spans="1:19" s="9" customFormat="1" x14ac:dyDescent="0.25">
      <c r="A2607" s="10"/>
      <c r="B2607" s="11"/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1"/>
    </row>
    <row r="2608" spans="1:19" s="9" customFormat="1" x14ac:dyDescent="0.25">
      <c r="A2608" s="10"/>
      <c r="B2608" s="11"/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</row>
    <row r="2609" spans="1:19" s="9" customFormat="1" x14ac:dyDescent="0.25">
      <c r="A2609" s="10"/>
      <c r="B2609" s="11"/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1"/>
    </row>
    <row r="2610" spans="1:19" s="9" customFormat="1" x14ac:dyDescent="0.25">
      <c r="A2610" s="10"/>
      <c r="B2610" s="11"/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1"/>
    </row>
    <row r="2611" spans="1:19" s="9" customFormat="1" x14ac:dyDescent="0.25">
      <c r="A2611" s="10"/>
      <c r="B2611" s="11"/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</row>
    <row r="2612" spans="1:19" s="9" customFormat="1" x14ac:dyDescent="0.25">
      <c r="A2612" s="10"/>
      <c r="B2612" s="11"/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</row>
    <row r="2613" spans="1:19" s="9" customFormat="1" x14ac:dyDescent="0.25">
      <c r="A2613" s="10"/>
      <c r="B2613" s="11"/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</row>
    <row r="2614" spans="1:19" s="9" customFormat="1" x14ac:dyDescent="0.25">
      <c r="A2614" s="10"/>
      <c r="B2614" s="11"/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</row>
    <row r="2615" spans="1:19" s="9" customFormat="1" x14ac:dyDescent="0.25">
      <c r="A2615" s="10"/>
      <c r="B2615" s="11"/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1"/>
    </row>
    <row r="2616" spans="1:19" s="9" customFormat="1" x14ac:dyDescent="0.25">
      <c r="A2616" s="10"/>
      <c r="B2616" s="11"/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1"/>
    </row>
    <row r="2617" spans="1:19" s="9" customFormat="1" x14ac:dyDescent="0.25">
      <c r="A2617" s="10"/>
      <c r="B2617" s="11"/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</row>
    <row r="2618" spans="1:19" s="9" customFormat="1" x14ac:dyDescent="0.25">
      <c r="A2618" s="10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1"/>
    </row>
    <row r="2619" spans="1:19" s="9" customFormat="1" x14ac:dyDescent="0.25">
      <c r="A2619" s="10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1"/>
    </row>
    <row r="2620" spans="1:19" s="9" customFormat="1" x14ac:dyDescent="0.25">
      <c r="A2620" s="10"/>
      <c r="B2620" s="11"/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</row>
    <row r="2621" spans="1:19" s="9" customFormat="1" x14ac:dyDescent="0.25">
      <c r="A2621" s="10"/>
      <c r="B2621" s="11"/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1"/>
    </row>
    <row r="2622" spans="1:19" s="9" customFormat="1" x14ac:dyDescent="0.25">
      <c r="A2622" s="10"/>
      <c r="B2622" s="11"/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1"/>
    </row>
    <row r="2623" spans="1:19" s="9" customFormat="1" x14ac:dyDescent="0.25">
      <c r="A2623" s="10"/>
      <c r="B2623" s="11"/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</row>
    <row r="2624" spans="1:19" s="9" customFormat="1" x14ac:dyDescent="0.25">
      <c r="A2624" s="10"/>
      <c r="B2624" s="11"/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</row>
    <row r="2625" spans="1:19" s="9" customFormat="1" x14ac:dyDescent="0.25">
      <c r="A2625" s="10"/>
      <c r="B2625" s="11"/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</row>
    <row r="2626" spans="1:19" s="9" customFormat="1" x14ac:dyDescent="0.25">
      <c r="A2626" s="10"/>
      <c r="B2626" s="11"/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</row>
    <row r="2627" spans="1:19" s="9" customFormat="1" x14ac:dyDescent="0.25">
      <c r="A2627" s="10"/>
      <c r="B2627" s="11"/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1"/>
    </row>
    <row r="2628" spans="1:19" s="9" customFormat="1" x14ac:dyDescent="0.25">
      <c r="A2628" s="10"/>
      <c r="B2628" s="11"/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</row>
    <row r="2629" spans="1:19" s="9" customFormat="1" x14ac:dyDescent="0.25">
      <c r="A2629" s="10"/>
      <c r="B2629" s="11"/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1"/>
    </row>
    <row r="2630" spans="1:19" s="9" customFormat="1" x14ac:dyDescent="0.25">
      <c r="A2630" s="10"/>
      <c r="B2630" s="11"/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</row>
    <row r="2631" spans="1:19" s="9" customFormat="1" x14ac:dyDescent="0.25">
      <c r="A2631" s="10"/>
      <c r="B2631" s="11"/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1"/>
    </row>
    <row r="2632" spans="1:19" s="9" customFormat="1" x14ac:dyDescent="0.25">
      <c r="A2632" s="10"/>
      <c r="B2632" s="11"/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1"/>
    </row>
    <row r="2633" spans="1:19" s="9" customFormat="1" x14ac:dyDescent="0.25">
      <c r="A2633" s="10"/>
      <c r="B2633" s="11"/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</row>
    <row r="2634" spans="1:19" s="9" customFormat="1" x14ac:dyDescent="0.25">
      <c r="A2634" s="10"/>
      <c r="B2634" s="11"/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1"/>
    </row>
    <row r="2635" spans="1:19" s="9" customFormat="1" x14ac:dyDescent="0.25">
      <c r="A2635" s="10"/>
      <c r="B2635" s="11"/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</row>
    <row r="2636" spans="1:19" s="9" customFormat="1" x14ac:dyDescent="0.25">
      <c r="A2636" s="10"/>
      <c r="B2636" s="11"/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1"/>
    </row>
    <row r="2637" spans="1:19" s="9" customFormat="1" x14ac:dyDescent="0.25">
      <c r="A2637" s="10"/>
      <c r="B2637" s="11"/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</row>
    <row r="2638" spans="1:19" s="9" customFormat="1" x14ac:dyDescent="0.25">
      <c r="A2638" s="10"/>
      <c r="B2638" s="11"/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</row>
    <row r="2639" spans="1:19" s="9" customFormat="1" x14ac:dyDescent="0.25">
      <c r="A2639" s="10"/>
      <c r="B2639" s="11"/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</row>
    <row r="2640" spans="1:19" s="9" customFormat="1" x14ac:dyDescent="0.25">
      <c r="A2640" s="10"/>
      <c r="B2640" s="11"/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</row>
    <row r="2641" spans="1:19" s="9" customFormat="1" x14ac:dyDescent="0.25">
      <c r="A2641" s="10"/>
      <c r="B2641" s="11"/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</row>
    <row r="2642" spans="1:19" s="9" customFormat="1" x14ac:dyDescent="0.25">
      <c r="A2642" s="10"/>
      <c r="B2642" s="11"/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</row>
    <row r="2643" spans="1:19" s="9" customFormat="1" x14ac:dyDescent="0.25">
      <c r="A2643" s="10"/>
      <c r="B2643" s="11"/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</row>
    <row r="2644" spans="1:19" s="9" customFormat="1" x14ac:dyDescent="0.25">
      <c r="A2644" s="10"/>
      <c r="B2644" s="11"/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1"/>
    </row>
    <row r="2645" spans="1:19" s="9" customFormat="1" x14ac:dyDescent="0.25">
      <c r="A2645" s="10"/>
      <c r="B2645" s="11"/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1"/>
    </row>
    <row r="2646" spans="1:19" s="9" customFormat="1" x14ac:dyDescent="0.25">
      <c r="A2646" s="10"/>
      <c r="B2646" s="11"/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</row>
    <row r="2647" spans="1:19" s="9" customFormat="1" x14ac:dyDescent="0.25">
      <c r="A2647" s="10"/>
      <c r="B2647" s="11"/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</row>
    <row r="2648" spans="1:19" s="9" customFormat="1" x14ac:dyDescent="0.25">
      <c r="A2648" s="10"/>
      <c r="B2648" s="11"/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</row>
    <row r="2649" spans="1:19" s="9" customFormat="1" x14ac:dyDescent="0.25">
      <c r="A2649" s="10"/>
      <c r="B2649" s="11"/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1"/>
    </row>
    <row r="2650" spans="1:19" s="9" customFormat="1" x14ac:dyDescent="0.25">
      <c r="A2650" s="10"/>
      <c r="B2650" s="11"/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1"/>
    </row>
    <row r="2651" spans="1:19" s="9" customFormat="1" x14ac:dyDescent="0.25">
      <c r="A2651" s="10"/>
      <c r="B2651" s="11"/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1"/>
    </row>
    <row r="2652" spans="1:19" s="9" customFormat="1" x14ac:dyDescent="0.25">
      <c r="A2652" s="10"/>
      <c r="B2652" s="11"/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</row>
    <row r="2653" spans="1:19" s="9" customFormat="1" x14ac:dyDescent="0.25">
      <c r="A2653" s="10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1"/>
    </row>
    <row r="2654" spans="1:19" s="9" customFormat="1" x14ac:dyDescent="0.25">
      <c r="A2654" s="10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1"/>
    </row>
    <row r="2655" spans="1:19" s="9" customFormat="1" x14ac:dyDescent="0.25">
      <c r="A2655" s="10"/>
      <c r="B2655" s="11"/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</row>
    <row r="2656" spans="1:19" s="9" customFormat="1" x14ac:dyDescent="0.25">
      <c r="A2656" s="10"/>
      <c r="B2656" s="11"/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</row>
    <row r="2657" spans="1:19" s="9" customFormat="1" x14ac:dyDescent="0.25">
      <c r="A2657" s="10"/>
      <c r="B2657" s="11"/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</row>
    <row r="2658" spans="1:19" s="9" customFormat="1" x14ac:dyDescent="0.25">
      <c r="A2658" s="10"/>
      <c r="B2658" s="11"/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1"/>
    </row>
    <row r="2659" spans="1:19" s="9" customFormat="1" x14ac:dyDescent="0.25">
      <c r="A2659" s="10"/>
      <c r="B2659" s="11"/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1"/>
    </row>
    <row r="2660" spans="1:19" s="9" customFormat="1" x14ac:dyDescent="0.25">
      <c r="A2660" s="10"/>
      <c r="B2660" s="11"/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</row>
    <row r="2661" spans="1:19" s="9" customFormat="1" x14ac:dyDescent="0.25">
      <c r="A2661" s="10"/>
      <c r="B2661" s="11"/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1"/>
    </row>
    <row r="2662" spans="1:19" s="9" customFormat="1" x14ac:dyDescent="0.25">
      <c r="A2662" s="10"/>
      <c r="B2662" s="11"/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</row>
    <row r="2663" spans="1:19" s="9" customFormat="1" x14ac:dyDescent="0.25">
      <c r="A2663" s="10"/>
      <c r="B2663" s="11"/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1"/>
    </row>
    <row r="2664" spans="1:19" s="9" customFormat="1" x14ac:dyDescent="0.25">
      <c r="A2664" s="10"/>
      <c r="B2664" s="11"/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</row>
    <row r="2665" spans="1:19" s="9" customFormat="1" x14ac:dyDescent="0.25">
      <c r="A2665" s="10"/>
      <c r="B2665" s="11"/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</row>
    <row r="2666" spans="1:19" s="9" customFormat="1" x14ac:dyDescent="0.25">
      <c r="A2666" s="10"/>
      <c r="B2666" s="11"/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</row>
    <row r="2667" spans="1:19" s="9" customFormat="1" x14ac:dyDescent="0.25">
      <c r="A2667" s="10"/>
      <c r="B2667" s="11"/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</row>
    <row r="2668" spans="1:19" s="9" customFormat="1" x14ac:dyDescent="0.25">
      <c r="A2668" s="10"/>
      <c r="B2668" s="11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</row>
    <row r="2669" spans="1:19" s="9" customFormat="1" x14ac:dyDescent="0.25">
      <c r="A2669" s="10"/>
      <c r="B2669" s="11"/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</row>
    <row r="2670" spans="1:19" s="9" customFormat="1" x14ac:dyDescent="0.25">
      <c r="A2670" s="10"/>
      <c r="B2670" s="11"/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</row>
    <row r="2671" spans="1:19" s="9" customFormat="1" x14ac:dyDescent="0.25">
      <c r="A2671" s="10"/>
      <c r="B2671" s="11"/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1"/>
    </row>
    <row r="2672" spans="1:19" s="9" customFormat="1" x14ac:dyDescent="0.25">
      <c r="A2672" s="10"/>
      <c r="B2672" s="11"/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1"/>
    </row>
    <row r="2673" spans="1:19" s="9" customFormat="1" x14ac:dyDescent="0.25">
      <c r="A2673" s="10"/>
      <c r="B2673" s="11"/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1"/>
    </row>
    <row r="2674" spans="1:19" s="9" customFormat="1" x14ac:dyDescent="0.25">
      <c r="A2674" s="10"/>
      <c r="B2674" s="11"/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</row>
    <row r="2675" spans="1:19" s="9" customFormat="1" x14ac:dyDescent="0.25">
      <c r="A2675" s="10"/>
      <c r="B2675" s="11"/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</row>
    <row r="2676" spans="1:19" s="9" customFormat="1" x14ac:dyDescent="0.25">
      <c r="A2676" s="10"/>
      <c r="B2676" s="11"/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1"/>
    </row>
    <row r="2677" spans="1:19" s="9" customFormat="1" x14ac:dyDescent="0.25">
      <c r="A2677" s="10"/>
      <c r="B2677" s="11"/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</row>
    <row r="2678" spans="1:19" s="9" customFormat="1" x14ac:dyDescent="0.25">
      <c r="A2678" s="10"/>
      <c r="B2678" s="11"/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1"/>
    </row>
    <row r="2679" spans="1:19" s="9" customFormat="1" x14ac:dyDescent="0.25">
      <c r="A2679" s="10"/>
      <c r="B2679" s="11"/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</row>
    <row r="2680" spans="1:19" s="9" customFormat="1" x14ac:dyDescent="0.25">
      <c r="A2680" s="10"/>
      <c r="B2680" s="11"/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</row>
    <row r="2681" spans="1:19" s="9" customFormat="1" x14ac:dyDescent="0.25">
      <c r="A2681" s="10"/>
      <c r="B2681" s="11"/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1"/>
    </row>
    <row r="2682" spans="1:19" s="9" customFormat="1" x14ac:dyDescent="0.25">
      <c r="A2682" s="10"/>
      <c r="B2682" s="11"/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</row>
    <row r="2683" spans="1:19" s="9" customFormat="1" x14ac:dyDescent="0.25">
      <c r="A2683" s="10"/>
      <c r="B2683" s="11"/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</row>
    <row r="2684" spans="1:19" s="9" customFormat="1" x14ac:dyDescent="0.25">
      <c r="A2684" s="10"/>
      <c r="B2684" s="11"/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</row>
    <row r="2685" spans="1:19" s="9" customFormat="1" x14ac:dyDescent="0.25">
      <c r="A2685" s="10"/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</row>
    <row r="2686" spans="1:19" s="9" customFormat="1" x14ac:dyDescent="0.25">
      <c r="A2686" s="10"/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</row>
    <row r="2687" spans="1:19" s="9" customFormat="1" x14ac:dyDescent="0.25">
      <c r="A2687" s="10"/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1"/>
    </row>
    <row r="2688" spans="1:19" s="9" customFormat="1" x14ac:dyDescent="0.25">
      <c r="A2688" s="10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</row>
    <row r="2689" spans="1:19" s="9" customFormat="1" x14ac:dyDescent="0.25">
      <c r="A2689" s="10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</row>
    <row r="2690" spans="1:19" s="9" customFormat="1" x14ac:dyDescent="0.25">
      <c r="A2690" s="10"/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</row>
    <row r="2691" spans="1:19" s="9" customFormat="1" x14ac:dyDescent="0.25">
      <c r="A2691" s="10"/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</row>
    <row r="2692" spans="1:19" s="9" customFormat="1" x14ac:dyDescent="0.25">
      <c r="A2692" s="10"/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  <c r="S2692" s="11"/>
    </row>
    <row r="2693" spans="1:19" s="9" customFormat="1" x14ac:dyDescent="0.25">
      <c r="A2693" s="10"/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</row>
    <row r="2694" spans="1:19" s="9" customFormat="1" x14ac:dyDescent="0.25">
      <c r="A2694" s="10"/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1"/>
    </row>
    <row r="2695" spans="1:19" s="9" customFormat="1" x14ac:dyDescent="0.25">
      <c r="A2695" s="10"/>
      <c r="B2695" s="11"/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1"/>
      <c r="S2695" s="11"/>
    </row>
    <row r="2696" spans="1:19" s="9" customFormat="1" x14ac:dyDescent="0.25">
      <c r="A2696" s="10"/>
      <c r="B2696" s="11"/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1"/>
    </row>
    <row r="2697" spans="1:19" s="9" customFormat="1" x14ac:dyDescent="0.25">
      <c r="A2697" s="10"/>
      <c r="B2697" s="11"/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1"/>
    </row>
    <row r="2698" spans="1:19" s="9" customFormat="1" x14ac:dyDescent="0.25">
      <c r="A2698" s="10"/>
      <c r="B2698" s="11"/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  <c r="R2698" s="11"/>
      <c r="S2698" s="11"/>
    </row>
    <row r="2699" spans="1:19" s="9" customFormat="1" x14ac:dyDescent="0.25">
      <c r="A2699" s="10"/>
      <c r="B2699" s="11"/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1"/>
    </row>
    <row r="2700" spans="1:19" s="9" customFormat="1" x14ac:dyDescent="0.25">
      <c r="A2700" s="10"/>
      <c r="B2700" s="11"/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1"/>
    </row>
    <row r="2701" spans="1:19" s="9" customFormat="1" x14ac:dyDescent="0.25">
      <c r="A2701" s="10"/>
      <c r="B2701" s="11"/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</row>
    <row r="2702" spans="1:19" s="9" customFormat="1" x14ac:dyDescent="0.25">
      <c r="A2702" s="10"/>
      <c r="B2702" s="11"/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</row>
    <row r="2703" spans="1:19" s="9" customFormat="1" x14ac:dyDescent="0.25">
      <c r="A2703" s="10"/>
      <c r="B2703" s="11"/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1"/>
      <c r="S2703" s="11"/>
    </row>
    <row r="2704" spans="1:19" s="9" customFormat="1" x14ac:dyDescent="0.25">
      <c r="A2704" s="10"/>
      <c r="B2704" s="11"/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1"/>
      <c r="S2704" s="11"/>
    </row>
    <row r="2705" spans="1:19" s="9" customFormat="1" x14ac:dyDescent="0.25">
      <c r="A2705" s="10"/>
      <c r="B2705" s="11"/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</row>
    <row r="2706" spans="1:19" s="9" customFormat="1" x14ac:dyDescent="0.25">
      <c r="A2706" s="10"/>
      <c r="B2706" s="11"/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1"/>
    </row>
    <row r="2707" spans="1:19" s="9" customFormat="1" x14ac:dyDescent="0.25">
      <c r="A2707" s="10"/>
      <c r="B2707" s="11"/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1"/>
      <c r="S2707" s="11"/>
    </row>
    <row r="2708" spans="1:19" s="9" customFormat="1" x14ac:dyDescent="0.25">
      <c r="A2708" s="10"/>
      <c r="B2708" s="11"/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11"/>
      <c r="S2708" s="11"/>
    </row>
    <row r="2709" spans="1:19" s="9" customFormat="1" x14ac:dyDescent="0.25">
      <c r="A2709" s="10"/>
      <c r="B2709" s="11"/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1"/>
      <c r="S2709" s="11"/>
    </row>
    <row r="2710" spans="1:19" s="9" customFormat="1" x14ac:dyDescent="0.25">
      <c r="A2710" s="10"/>
      <c r="B2710" s="11"/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1"/>
      <c r="S2710" s="11"/>
    </row>
    <row r="2711" spans="1:19" s="9" customFormat="1" x14ac:dyDescent="0.25">
      <c r="A2711" s="10"/>
      <c r="B2711" s="11"/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1"/>
      <c r="S2711" s="11"/>
    </row>
    <row r="2712" spans="1:19" s="9" customFormat="1" x14ac:dyDescent="0.25">
      <c r="A2712" s="10"/>
      <c r="B2712" s="11"/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</row>
    <row r="2713" spans="1:19" s="9" customFormat="1" x14ac:dyDescent="0.25">
      <c r="A2713" s="10"/>
      <c r="B2713" s="11"/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1"/>
      <c r="S2713" s="11"/>
    </row>
    <row r="2714" spans="1:19" s="9" customFormat="1" x14ac:dyDescent="0.25">
      <c r="A2714" s="10"/>
      <c r="B2714" s="11"/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1"/>
    </row>
    <row r="2715" spans="1:19" s="9" customFormat="1" x14ac:dyDescent="0.25">
      <c r="A2715" s="10"/>
      <c r="B2715" s="11"/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</row>
    <row r="2716" spans="1:19" s="9" customFormat="1" x14ac:dyDescent="0.25">
      <c r="A2716" s="10"/>
      <c r="B2716" s="11"/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</row>
    <row r="2717" spans="1:19" s="9" customFormat="1" x14ac:dyDescent="0.25">
      <c r="A2717" s="10"/>
      <c r="B2717" s="11"/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</row>
    <row r="2718" spans="1:19" s="9" customFormat="1" x14ac:dyDescent="0.25">
      <c r="A2718" s="10"/>
      <c r="B2718" s="11"/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1"/>
      <c r="S2718" s="11"/>
    </row>
    <row r="2719" spans="1:19" s="9" customFormat="1" x14ac:dyDescent="0.25">
      <c r="A2719" s="10"/>
      <c r="B2719" s="11"/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1"/>
      <c r="S2719" s="11"/>
    </row>
    <row r="2720" spans="1:19" s="9" customFormat="1" x14ac:dyDescent="0.25">
      <c r="A2720" s="10"/>
      <c r="B2720" s="11"/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</row>
    <row r="2721" spans="1:19" s="9" customFormat="1" x14ac:dyDescent="0.25">
      <c r="A2721" s="10"/>
      <c r="B2721" s="11"/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</row>
    <row r="2722" spans="1:19" s="9" customFormat="1" x14ac:dyDescent="0.25">
      <c r="A2722" s="10"/>
      <c r="B2722" s="11"/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1"/>
      <c r="S2722" s="11"/>
    </row>
    <row r="2723" spans="1:19" s="9" customFormat="1" x14ac:dyDescent="0.25">
      <c r="A2723" s="10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</row>
    <row r="2724" spans="1:19" s="9" customFormat="1" x14ac:dyDescent="0.25">
      <c r="A2724" s="10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</row>
    <row r="2725" spans="1:19" s="9" customFormat="1" x14ac:dyDescent="0.25">
      <c r="A2725" s="10"/>
      <c r="B2725" s="11"/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1"/>
    </row>
    <row r="2726" spans="1:19" s="9" customFormat="1" x14ac:dyDescent="0.25">
      <c r="A2726" s="10"/>
      <c r="B2726" s="11"/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</row>
    <row r="2727" spans="1:19" s="9" customFormat="1" x14ac:dyDescent="0.25">
      <c r="A2727" s="10"/>
      <c r="B2727" s="11"/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</row>
    <row r="2728" spans="1:19" s="9" customFormat="1" x14ac:dyDescent="0.25">
      <c r="A2728" s="10"/>
      <c r="B2728" s="11"/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1"/>
    </row>
    <row r="2729" spans="1:19" s="9" customFormat="1" x14ac:dyDescent="0.25">
      <c r="A2729" s="10"/>
      <c r="B2729" s="11"/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</row>
    <row r="2730" spans="1:19" s="9" customFormat="1" x14ac:dyDescent="0.25">
      <c r="A2730" s="10"/>
      <c r="B2730" s="11"/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</row>
    <row r="2731" spans="1:19" s="9" customFormat="1" x14ac:dyDescent="0.25">
      <c r="A2731" s="10"/>
      <c r="B2731" s="11"/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</row>
    <row r="2732" spans="1:19" s="9" customFormat="1" x14ac:dyDescent="0.25">
      <c r="A2732" s="10"/>
      <c r="B2732" s="11"/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1"/>
    </row>
    <row r="2733" spans="1:19" s="9" customFormat="1" x14ac:dyDescent="0.25">
      <c r="A2733" s="10"/>
      <c r="B2733" s="11"/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1"/>
    </row>
    <row r="2734" spans="1:19" s="9" customFormat="1" x14ac:dyDescent="0.25">
      <c r="A2734" s="10"/>
      <c r="B2734" s="11"/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</row>
    <row r="2735" spans="1:19" s="9" customFormat="1" x14ac:dyDescent="0.25">
      <c r="A2735" s="10"/>
      <c r="B2735" s="11"/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1"/>
    </row>
    <row r="2736" spans="1:19" s="9" customFormat="1" x14ac:dyDescent="0.25">
      <c r="A2736" s="10"/>
      <c r="B2736" s="11"/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</row>
    <row r="2737" spans="1:19" s="9" customFormat="1" x14ac:dyDescent="0.25">
      <c r="A2737" s="10"/>
      <c r="B2737" s="11"/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1"/>
    </row>
    <row r="2738" spans="1:19" s="9" customFormat="1" x14ac:dyDescent="0.25">
      <c r="A2738" s="10"/>
      <c r="B2738" s="11"/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1"/>
    </row>
    <row r="2739" spans="1:19" s="9" customFormat="1" x14ac:dyDescent="0.25">
      <c r="A2739" s="10"/>
      <c r="B2739" s="11"/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1"/>
    </row>
    <row r="2740" spans="1:19" s="9" customFormat="1" x14ac:dyDescent="0.25">
      <c r="A2740" s="10"/>
      <c r="B2740" s="11"/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1"/>
    </row>
    <row r="2741" spans="1:19" s="9" customFormat="1" x14ac:dyDescent="0.25">
      <c r="A2741" s="10"/>
      <c r="B2741" s="11"/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1"/>
    </row>
    <row r="2742" spans="1:19" s="9" customFormat="1" x14ac:dyDescent="0.25">
      <c r="A2742" s="10"/>
      <c r="B2742" s="11"/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1"/>
    </row>
    <row r="2743" spans="1:19" s="9" customFormat="1" x14ac:dyDescent="0.25">
      <c r="A2743" s="10"/>
      <c r="B2743" s="11"/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1"/>
      <c r="S2743" s="11"/>
    </row>
    <row r="2744" spans="1:19" s="9" customFormat="1" x14ac:dyDescent="0.25">
      <c r="A2744" s="10"/>
      <c r="B2744" s="11"/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1"/>
    </row>
    <row r="2745" spans="1:19" s="9" customFormat="1" x14ac:dyDescent="0.25">
      <c r="A2745" s="10"/>
      <c r="B2745" s="11"/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</row>
    <row r="2746" spans="1:19" s="9" customFormat="1" x14ac:dyDescent="0.25">
      <c r="A2746" s="10"/>
      <c r="B2746" s="11"/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1"/>
      <c r="S2746" s="11"/>
    </row>
    <row r="2747" spans="1:19" s="9" customFormat="1" x14ac:dyDescent="0.25">
      <c r="A2747" s="10"/>
      <c r="B2747" s="11"/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1"/>
    </row>
    <row r="2748" spans="1:19" s="9" customFormat="1" x14ac:dyDescent="0.25">
      <c r="A2748" s="10"/>
      <c r="B2748" s="11"/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1"/>
    </row>
    <row r="2749" spans="1:19" s="9" customFormat="1" x14ac:dyDescent="0.25">
      <c r="A2749" s="10"/>
      <c r="B2749" s="11"/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1"/>
      <c r="S2749" s="11"/>
    </row>
    <row r="2750" spans="1:19" s="9" customFormat="1" x14ac:dyDescent="0.25">
      <c r="A2750" s="10"/>
      <c r="B2750" s="11"/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1"/>
    </row>
    <row r="2751" spans="1:19" s="9" customFormat="1" x14ac:dyDescent="0.25">
      <c r="A2751" s="10"/>
      <c r="B2751" s="11"/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1"/>
    </row>
    <row r="2752" spans="1:19" s="9" customFormat="1" x14ac:dyDescent="0.25">
      <c r="A2752" s="10"/>
      <c r="B2752" s="11"/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</row>
    <row r="2753" spans="1:19" s="9" customFormat="1" x14ac:dyDescent="0.25">
      <c r="A2753" s="10"/>
      <c r="B2753" s="11"/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1"/>
      <c r="S2753" s="11"/>
    </row>
    <row r="2754" spans="1:19" s="9" customFormat="1" x14ac:dyDescent="0.25">
      <c r="A2754" s="10"/>
      <c r="B2754" s="11"/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1"/>
      <c r="S2754" s="11"/>
    </row>
    <row r="2755" spans="1:19" s="9" customFormat="1" x14ac:dyDescent="0.25">
      <c r="A2755" s="10"/>
      <c r="B2755" s="11"/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1"/>
      <c r="S2755" s="11"/>
    </row>
    <row r="2756" spans="1:19" s="9" customFormat="1" x14ac:dyDescent="0.25">
      <c r="A2756" s="10"/>
      <c r="B2756" s="11"/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</row>
    <row r="2757" spans="1:19" s="9" customFormat="1" x14ac:dyDescent="0.25">
      <c r="A2757" s="10"/>
      <c r="B2757" s="11"/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1"/>
    </row>
    <row r="2758" spans="1:19" s="9" customFormat="1" x14ac:dyDescent="0.25">
      <c r="A2758" s="10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</row>
    <row r="2759" spans="1:19" s="9" customFormat="1" x14ac:dyDescent="0.25">
      <c r="A2759" s="10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1"/>
    </row>
    <row r="2760" spans="1:19" s="9" customFormat="1" x14ac:dyDescent="0.25">
      <c r="A2760" s="10"/>
      <c r="B2760" s="11"/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1"/>
    </row>
    <row r="2761" spans="1:19" s="9" customFormat="1" x14ac:dyDescent="0.25">
      <c r="A2761" s="10"/>
      <c r="B2761" s="11"/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</row>
    <row r="2762" spans="1:19" s="9" customFormat="1" x14ac:dyDescent="0.25">
      <c r="A2762" s="10"/>
      <c r="B2762" s="11"/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1"/>
    </row>
    <row r="2763" spans="1:19" s="9" customFormat="1" x14ac:dyDescent="0.25">
      <c r="A2763" s="10"/>
      <c r="B2763" s="11"/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1"/>
    </row>
    <row r="2764" spans="1:19" s="9" customFormat="1" x14ac:dyDescent="0.25">
      <c r="A2764" s="10"/>
      <c r="B2764" s="11"/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</row>
    <row r="2765" spans="1:19" s="9" customFormat="1" x14ac:dyDescent="0.25">
      <c r="A2765" s="10"/>
      <c r="B2765" s="11"/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</row>
    <row r="2766" spans="1:19" s="9" customFormat="1" x14ac:dyDescent="0.25">
      <c r="A2766" s="10"/>
      <c r="B2766" s="11"/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1"/>
    </row>
    <row r="2767" spans="1:19" s="9" customFormat="1" x14ac:dyDescent="0.25">
      <c r="A2767" s="10"/>
      <c r="B2767" s="11"/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</row>
    <row r="2768" spans="1:19" s="9" customFormat="1" x14ac:dyDescent="0.25">
      <c r="A2768" s="10"/>
      <c r="B2768" s="11"/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1"/>
    </row>
    <row r="2769" spans="1:19" s="9" customFormat="1" x14ac:dyDescent="0.25">
      <c r="A2769" s="10"/>
      <c r="B2769" s="11"/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1"/>
    </row>
    <row r="2770" spans="1:19" s="9" customFormat="1" x14ac:dyDescent="0.25">
      <c r="A2770" s="10"/>
      <c r="B2770" s="11"/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1"/>
      <c r="S2770" s="11"/>
    </row>
    <row r="2771" spans="1:19" s="9" customFormat="1" x14ac:dyDescent="0.25">
      <c r="A2771" s="10"/>
      <c r="B2771" s="11"/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1"/>
    </row>
    <row r="2772" spans="1:19" s="9" customFormat="1" x14ac:dyDescent="0.25">
      <c r="A2772" s="10"/>
      <c r="B2772" s="11"/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1"/>
    </row>
    <row r="2773" spans="1:19" s="9" customFormat="1" x14ac:dyDescent="0.25">
      <c r="A2773" s="10"/>
      <c r="B2773" s="11"/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1"/>
      <c r="S2773" s="11"/>
    </row>
    <row r="2774" spans="1:19" s="9" customFormat="1" x14ac:dyDescent="0.25">
      <c r="A2774" s="10"/>
      <c r="B2774" s="11"/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1"/>
    </row>
    <row r="2775" spans="1:19" s="9" customFormat="1" x14ac:dyDescent="0.25">
      <c r="A2775" s="10"/>
      <c r="B2775" s="11"/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</row>
    <row r="2776" spans="1:19" s="9" customFormat="1" x14ac:dyDescent="0.25">
      <c r="A2776" s="10"/>
      <c r="B2776" s="11"/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1"/>
    </row>
    <row r="2777" spans="1:19" s="9" customFormat="1" x14ac:dyDescent="0.25">
      <c r="A2777" s="10"/>
      <c r="B2777" s="11"/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1"/>
    </row>
    <row r="2778" spans="1:19" s="9" customFormat="1" x14ac:dyDescent="0.25">
      <c r="A2778" s="10"/>
      <c r="B2778" s="11"/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</row>
    <row r="2779" spans="1:19" s="9" customFormat="1" x14ac:dyDescent="0.25">
      <c r="A2779" s="10"/>
      <c r="B2779" s="11"/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1"/>
      <c r="S2779" s="11"/>
    </row>
    <row r="2780" spans="1:19" s="9" customFormat="1" x14ac:dyDescent="0.25">
      <c r="A2780" s="10"/>
      <c r="B2780" s="11"/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1"/>
    </row>
    <row r="2781" spans="1:19" s="9" customFormat="1" x14ac:dyDescent="0.25">
      <c r="A2781" s="10"/>
      <c r="B2781" s="11"/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1"/>
    </row>
    <row r="2782" spans="1:19" s="9" customFormat="1" x14ac:dyDescent="0.25">
      <c r="A2782" s="10"/>
      <c r="B2782" s="11"/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11"/>
    </row>
    <row r="2783" spans="1:19" s="9" customFormat="1" x14ac:dyDescent="0.25">
      <c r="A2783" s="10"/>
      <c r="B2783" s="11"/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1"/>
      <c r="S2783" s="11"/>
    </row>
    <row r="2784" spans="1:19" s="9" customFormat="1" x14ac:dyDescent="0.25">
      <c r="A2784" s="10"/>
      <c r="B2784" s="11"/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1"/>
      <c r="S2784" s="11"/>
    </row>
    <row r="2785" spans="1:19" s="9" customFormat="1" x14ac:dyDescent="0.25">
      <c r="A2785" s="10"/>
      <c r="B2785" s="11"/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1"/>
      <c r="S2785" s="11"/>
    </row>
    <row r="2786" spans="1:19" s="9" customFormat="1" x14ac:dyDescent="0.25">
      <c r="A2786" s="10"/>
      <c r="B2786" s="11"/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1"/>
      <c r="S2786" s="11"/>
    </row>
    <row r="2787" spans="1:19" s="9" customFormat="1" x14ac:dyDescent="0.25">
      <c r="A2787" s="10"/>
      <c r="B2787" s="11"/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  <c r="R2787" s="11"/>
      <c r="S2787" s="11"/>
    </row>
    <row r="2788" spans="1:19" s="9" customFormat="1" x14ac:dyDescent="0.25">
      <c r="A2788" s="10"/>
      <c r="B2788" s="11"/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1"/>
      <c r="S2788" s="11"/>
    </row>
    <row r="2789" spans="1:19" s="9" customFormat="1" x14ac:dyDescent="0.25">
      <c r="A2789" s="10"/>
      <c r="B2789" s="11"/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1"/>
      <c r="S2789" s="11"/>
    </row>
    <row r="2790" spans="1:19" s="9" customFormat="1" x14ac:dyDescent="0.25">
      <c r="A2790" s="10"/>
      <c r="B2790" s="11"/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1"/>
      <c r="S2790" s="11"/>
    </row>
    <row r="2791" spans="1:19" s="9" customFormat="1" x14ac:dyDescent="0.25">
      <c r="A2791" s="10"/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1"/>
      <c r="S2791" s="11"/>
    </row>
    <row r="2792" spans="1:19" s="9" customFormat="1" x14ac:dyDescent="0.25">
      <c r="A2792" s="10"/>
      <c r="B2792" s="11"/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</row>
    <row r="2793" spans="1:19" s="9" customFormat="1" x14ac:dyDescent="0.25">
      <c r="A2793" s="10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1"/>
      <c r="S2793" s="11"/>
    </row>
    <row r="2794" spans="1:19" s="9" customFormat="1" x14ac:dyDescent="0.25">
      <c r="A2794" s="10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1"/>
    </row>
    <row r="2795" spans="1:19" s="9" customFormat="1" x14ac:dyDescent="0.25">
      <c r="A2795" s="10"/>
      <c r="B2795" s="11"/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11"/>
      <c r="N2795" s="11"/>
      <c r="O2795" s="11"/>
      <c r="P2795" s="11"/>
      <c r="Q2795" s="11"/>
      <c r="R2795" s="11"/>
      <c r="S2795" s="11"/>
    </row>
    <row r="2796" spans="1:19" s="9" customFormat="1" x14ac:dyDescent="0.25">
      <c r="A2796" s="10"/>
      <c r="B2796" s="11"/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11"/>
      <c r="S2796" s="11"/>
    </row>
    <row r="2797" spans="1:19" s="9" customFormat="1" x14ac:dyDescent="0.25">
      <c r="A2797" s="10"/>
      <c r="B2797" s="11"/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11"/>
      <c r="S2797" s="11"/>
    </row>
    <row r="2798" spans="1:19" s="9" customFormat="1" x14ac:dyDescent="0.25">
      <c r="A2798" s="10"/>
      <c r="B2798" s="11"/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11"/>
      <c r="S2798" s="11"/>
    </row>
    <row r="2799" spans="1:19" s="9" customFormat="1" x14ac:dyDescent="0.25">
      <c r="A2799" s="10"/>
      <c r="B2799" s="11"/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11"/>
      <c r="N2799" s="11"/>
      <c r="O2799" s="11"/>
      <c r="P2799" s="11"/>
      <c r="Q2799" s="11"/>
      <c r="R2799" s="11"/>
      <c r="S2799" s="11"/>
    </row>
    <row r="2800" spans="1:19" s="9" customFormat="1" x14ac:dyDescent="0.25">
      <c r="A2800" s="10"/>
      <c r="B2800" s="11"/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</row>
    <row r="2801" spans="1:19" s="9" customFormat="1" x14ac:dyDescent="0.25">
      <c r="A2801" s="10"/>
      <c r="B2801" s="11"/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  <c r="M2801" s="11"/>
      <c r="N2801" s="11"/>
      <c r="O2801" s="11"/>
      <c r="P2801" s="11"/>
      <c r="Q2801" s="11"/>
      <c r="R2801" s="11"/>
      <c r="S2801" s="11"/>
    </row>
    <row r="2802" spans="1:19" s="9" customFormat="1" x14ac:dyDescent="0.25">
      <c r="A2802" s="10"/>
      <c r="B2802" s="11"/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  <c r="R2802" s="11"/>
      <c r="S2802" s="11"/>
    </row>
    <row r="2803" spans="1:19" s="9" customFormat="1" x14ac:dyDescent="0.25">
      <c r="A2803" s="10"/>
      <c r="B2803" s="11"/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  <c r="M2803" s="11"/>
      <c r="N2803" s="11"/>
      <c r="O2803" s="11"/>
      <c r="P2803" s="11"/>
      <c r="Q2803" s="11"/>
      <c r="R2803" s="11"/>
      <c r="S2803" s="11"/>
    </row>
    <row r="2804" spans="1:19" s="9" customFormat="1" x14ac:dyDescent="0.25">
      <c r="A2804" s="10"/>
      <c r="B2804" s="11"/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  <c r="M2804" s="11"/>
      <c r="N2804" s="11"/>
      <c r="O2804" s="11"/>
      <c r="P2804" s="11"/>
      <c r="Q2804" s="11"/>
      <c r="R2804" s="11"/>
      <c r="S2804" s="11"/>
    </row>
    <row r="2805" spans="1:19" s="9" customFormat="1" x14ac:dyDescent="0.25">
      <c r="A2805" s="10"/>
      <c r="B2805" s="11"/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  <c r="R2805" s="11"/>
      <c r="S2805" s="11"/>
    </row>
    <row r="2806" spans="1:19" s="9" customFormat="1" x14ac:dyDescent="0.25">
      <c r="A2806" s="10"/>
      <c r="B2806" s="11"/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  <c r="M2806" s="11"/>
      <c r="N2806" s="11"/>
      <c r="O2806" s="11"/>
      <c r="P2806" s="11"/>
      <c r="Q2806" s="11"/>
      <c r="R2806" s="11"/>
      <c r="S2806" s="11"/>
    </row>
    <row r="2807" spans="1:19" s="9" customFormat="1" x14ac:dyDescent="0.25">
      <c r="A2807" s="10"/>
      <c r="B2807" s="11"/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  <c r="M2807" s="11"/>
      <c r="N2807" s="11"/>
      <c r="O2807" s="11"/>
      <c r="P2807" s="11"/>
      <c r="Q2807" s="11"/>
      <c r="R2807" s="11"/>
      <c r="S2807" s="11"/>
    </row>
    <row r="2808" spans="1:19" s="9" customFormat="1" x14ac:dyDescent="0.25">
      <c r="A2808" s="10"/>
      <c r="B2808" s="11"/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/>
      <c r="S2808" s="11"/>
    </row>
    <row r="2809" spans="1:19" s="9" customFormat="1" x14ac:dyDescent="0.25">
      <c r="A2809" s="10"/>
      <c r="B2809" s="11"/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</row>
    <row r="2810" spans="1:19" s="9" customFormat="1" x14ac:dyDescent="0.25">
      <c r="A2810" s="10"/>
      <c r="B2810" s="11"/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  <c r="M2810" s="11"/>
      <c r="N2810" s="11"/>
      <c r="O2810" s="11"/>
      <c r="P2810" s="11"/>
      <c r="Q2810" s="11"/>
      <c r="R2810" s="11"/>
      <c r="S2810" s="11"/>
    </row>
    <row r="2811" spans="1:19" s="9" customFormat="1" x14ac:dyDescent="0.25">
      <c r="A2811" s="10"/>
      <c r="B2811" s="11"/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</row>
    <row r="2812" spans="1:19" s="9" customFormat="1" x14ac:dyDescent="0.25">
      <c r="A2812" s="10"/>
      <c r="B2812" s="11"/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  <c r="R2812" s="11"/>
      <c r="S2812" s="11"/>
    </row>
    <row r="2813" spans="1:19" s="9" customFormat="1" x14ac:dyDescent="0.25">
      <c r="A2813" s="10"/>
      <c r="B2813" s="11"/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  <c r="R2813" s="11"/>
      <c r="S2813" s="11"/>
    </row>
    <row r="2814" spans="1:19" s="9" customFormat="1" x14ac:dyDescent="0.25">
      <c r="A2814" s="10"/>
      <c r="B2814" s="11"/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  <c r="M2814" s="11"/>
      <c r="N2814" s="11"/>
      <c r="O2814" s="11"/>
      <c r="P2814" s="11"/>
      <c r="Q2814" s="11"/>
      <c r="R2814" s="11"/>
      <c r="S2814" s="11"/>
    </row>
    <row r="2815" spans="1:19" s="9" customFormat="1" x14ac:dyDescent="0.25">
      <c r="A2815" s="10"/>
      <c r="B2815" s="11"/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  <c r="R2815" s="11"/>
      <c r="S2815" s="11"/>
    </row>
    <row r="2816" spans="1:19" s="9" customFormat="1" x14ac:dyDescent="0.25">
      <c r="A2816" s="10"/>
      <c r="B2816" s="11"/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  <c r="M2816" s="11"/>
      <c r="N2816" s="11"/>
      <c r="O2816" s="11"/>
      <c r="P2816" s="11"/>
      <c r="Q2816" s="11"/>
      <c r="R2816" s="11"/>
      <c r="S2816" s="11"/>
    </row>
    <row r="2817" spans="1:19" s="9" customFormat="1" x14ac:dyDescent="0.25">
      <c r="A2817" s="10"/>
      <c r="B2817" s="11"/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  <c r="M2817" s="11"/>
      <c r="N2817" s="11"/>
      <c r="O2817" s="11"/>
      <c r="P2817" s="11"/>
      <c r="Q2817" s="11"/>
      <c r="R2817" s="11"/>
      <c r="S2817" s="11"/>
    </row>
    <row r="2818" spans="1:19" s="9" customFormat="1" x14ac:dyDescent="0.25">
      <c r="A2818" s="10"/>
      <c r="B2818" s="11"/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  <c r="N2818" s="11"/>
      <c r="O2818" s="11"/>
      <c r="P2818" s="11"/>
      <c r="Q2818" s="11"/>
      <c r="R2818" s="11"/>
      <c r="S2818" s="11"/>
    </row>
    <row r="2819" spans="1:19" s="9" customFormat="1" x14ac:dyDescent="0.25">
      <c r="A2819" s="10"/>
      <c r="B2819" s="11"/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11"/>
      <c r="N2819" s="11"/>
      <c r="O2819" s="11"/>
      <c r="P2819" s="11"/>
      <c r="Q2819" s="11"/>
      <c r="R2819" s="11"/>
      <c r="S2819" s="11"/>
    </row>
    <row r="2820" spans="1:19" s="9" customFormat="1" x14ac:dyDescent="0.25">
      <c r="A2820" s="10"/>
      <c r="B2820" s="11"/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1"/>
      <c r="Q2820" s="11"/>
      <c r="R2820" s="11"/>
      <c r="S2820" s="11"/>
    </row>
    <row r="2821" spans="1:19" s="9" customFormat="1" x14ac:dyDescent="0.25">
      <c r="A2821" s="10"/>
      <c r="B2821" s="11"/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</row>
    <row r="2822" spans="1:19" s="9" customFormat="1" x14ac:dyDescent="0.25">
      <c r="A2822" s="10"/>
      <c r="B2822" s="11"/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</row>
    <row r="2823" spans="1:19" s="9" customFormat="1" x14ac:dyDescent="0.25">
      <c r="A2823" s="10"/>
      <c r="B2823" s="11"/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1"/>
      <c r="Q2823" s="11"/>
      <c r="R2823" s="11"/>
      <c r="S2823" s="11"/>
    </row>
    <row r="2824" spans="1:19" s="9" customFormat="1" x14ac:dyDescent="0.25">
      <c r="A2824" s="10"/>
      <c r="B2824" s="11"/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/>
      <c r="S2824" s="11"/>
    </row>
    <row r="2825" spans="1:19" s="9" customFormat="1" x14ac:dyDescent="0.25">
      <c r="A2825" s="10"/>
      <c r="B2825" s="11"/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1"/>
      <c r="Q2825" s="11"/>
      <c r="R2825" s="11"/>
      <c r="S2825" s="11"/>
    </row>
    <row r="2826" spans="1:19" s="9" customFormat="1" x14ac:dyDescent="0.25">
      <c r="A2826" s="10"/>
      <c r="B2826" s="11"/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</row>
    <row r="2827" spans="1:19" s="9" customFormat="1" x14ac:dyDescent="0.25">
      <c r="A2827" s="10"/>
      <c r="B2827" s="11"/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/>
      <c r="S2827" s="11"/>
    </row>
    <row r="2828" spans="1:19" s="9" customFormat="1" x14ac:dyDescent="0.25">
      <c r="A2828" s="10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  <c r="O2828" s="11"/>
      <c r="P2828" s="11"/>
      <c r="Q2828" s="11"/>
      <c r="R2828" s="11"/>
      <c r="S2828" s="11"/>
    </row>
    <row r="2829" spans="1:19" s="9" customFormat="1" x14ac:dyDescent="0.25">
      <c r="A2829" s="10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  <c r="R2829" s="11"/>
      <c r="S2829" s="11"/>
    </row>
    <row r="2830" spans="1:19" s="9" customFormat="1" x14ac:dyDescent="0.25">
      <c r="A2830" s="10"/>
      <c r="B2830" s="11"/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  <c r="M2830" s="11"/>
      <c r="N2830" s="11"/>
      <c r="O2830" s="11"/>
      <c r="P2830" s="11"/>
      <c r="Q2830" s="11"/>
      <c r="R2830" s="11"/>
      <c r="S2830" s="11"/>
    </row>
    <row r="2831" spans="1:19" s="9" customFormat="1" x14ac:dyDescent="0.25">
      <c r="A2831" s="10"/>
      <c r="B2831" s="11"/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</row>
    <row r="2832" spans="1:19" s="9" customFormat="1" x14ac:dyDescent="0.25">
      <c r="A2832" s="10"/>
      <c r="B2832" s="11"/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  <c r="R2832" s="11"/>
      <c r="S2832" s="11"/>
    </row>
    <row r="2833" spans="1:19" s="9" customFormat="1" x14ac:dyDescent="0.25">
      <c r="A2833" s="10"/>
      <c r="B2833" s="11"/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</row>
    <row r="2834" spans="1:19" s="9" customFormat="1" x14ac:dyDescent="0.25">
      <c r="A2834" s="10"/>
      <c r="B2834" s="11"/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  <c r="R2834" s="11"/>
      <c r="S2834" s="11"/>
    </row>
    <row r="2835" spans="1:19" s="9" customFormat="1" x14ac:dyDescent="0.25">
      <c r="A2835" s="10"/>
      <c r="B2835" s="11"/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  <c r="R2835" s="11"/>
      <c r="S2835" s="11"/>
    </row>
    <row r="2836" spans="1:19" s="9" customFormat="1" x14ac:dyDescent="0.25">
      <c r="A2836" s="10"/>
      <c r="B2836" s="11"/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  <c r="R2836" s="11"/>
      <c r="S2836" s="11"/>
    </row>
    <row r="2837" spans="1:19" s="9" customFormat="1" x14ac:dyDescent="0.25">
      <c r="A2837" s="10"/>
      <c r="B2837" s="11"/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/>
      <c r="S2837" s="11"/>
    </row>
    <row r="2838" spans="1:19" s="9" customFormat="1" x14ac:dyDescent="0.25">
      <c r="A2838" s="10"/>
      <c r="B2838" s="11"/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11"/>
    </row>
    <row r="2839" spans="1:19" s="9" customFormat="1" x14ac:dyDescent="0.25">
      <c r="A2839" s="10"/>
      <c r="B2839" s="11"/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11"/>
    </row>
    <row r="2840" spans="1:19" s="9" customFormat="1" x14ac:dyDescent="0.25">
      <c r="A2840" s="10"/>
      <c r="B2840" s="11"/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</row>
    <row r="2841" spans="1:19" s="9" customFormat="1" x14ac:dyDescent="0.25">
      <c r="A2841" s="10"/>
      <c r="B2841" s="11"/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</row>
    <row r="2842" spans="1:19" s="9" customFormat="1" x14ac:dyDescent="0.25">
      <c r="A2842" s="10"/>
      <c r="B2842" s="11"/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11"/>
      <c r="N2842" s="11"/>
      <c r="O2842" s="11"/>
      <c r="P2842" s="11"/>
      <c r="Q2842" s="11"/>
      <c r="R2842" s="11"/>
      <c r="S2842" s="11"/>
    </row>
    <row r="2843" spans="1:19" s="9" customFormat="1" x14ac:dyDescent="0.25">
      <c r="A2843" s="10"/>
      <c r="B2843" s="11"/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</row>
    <row r="2844" spans="1:19" s="9" customFormat="1" x14ac:dyDescent="0.25">
      <c r="A2844" s="10"/>
      <c r="B2844" s="11"/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</row>
    <row r="2845" spans="1:19" s="9" customFormat="1" x14ac:dyDescent="0.25">
      <c r="A2845" s="10"/>
      <c r="B2845" s="11"/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</row>
    <row r="2846" spans="1:19" s="9" customFormat="1" x14ac:dyDescent="0.25">
      <c r="A2846" s="10"/>
      <c r="B2846" s="11"/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  <c r="M2846" s="11"/>
      <c r="N2846" s="11"/>
      <c r="O2846" s="11"/>
      <c r="P2846" s="11"/>
      <c r="Q2846" s="11"/>
      <c r="R2846" s="11"/>
      <c r="S2846" s="11"/>
    </row>
    <row r="2847" spans="1:19" s="9" customFormat="1" x14ac:dyDescent="0.25">
      <c r="A2847" s="10"/>
      <c r="B2847" s="11"/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</row>
    <row r="2848" spans="1:19" s="9" customFormat="1" x14ac:dyDescent="0.25">
      <c r="A2848" s="10"/>
      <c r="B2848" s="11"/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</row>
    <row r="2849" spans="1:19" s="9" customFormat="1" x14ac:dyDescent="0.25">
      <c r="A2849" s="10"/>
      <c r="B2849" s="11"/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11"/>
      <c r="N2849" s="11"/>
      <c r="O2849" s="11"/>
      <c r="P2849" s="11"/>
      <c r="Q2849" s="11"/>
      <c r="R2849" s="11"/>
      <c r="S2849" s="11"/>
    </row>
    <row r="2850" spans="1:19" s="9" customFormat="1" x14ac:dyDescent="0.25">
      <c r="A2850" s="10"/>
      <c r="B2850" s="11"/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  <c r="N2850" s="11"/>
      <c r="O2850" s="11"/>
      <c r="P2850" s="11"/>
      <c r="Q2850" s="11"/>
      <c r="R2850" s="11"/>
      <c r="S2850" s="11"/>
    </row>
    <row r="2851" spans="1:19" s="9" customFormat="1" x14ac:dyDescent="0.25">
      <c r="A2851" s="10"/>
      <c r="B2851" s="11"/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  <c r="N2851" s="11"/>
      <c r="O2851" s="11"/>
      <c r="P2851" s="11"/>
      <c r="Q2851" s="11"/>
      <c r="R2851" s="11"/>
      <c r="S2851" s="11"/>
    </row>
    <row r="2852" spans="1:19" s="9" customFormat="1" x14ac:dyDescent="0.25">
      <c r="A2852" s="10"/>
      <c r="B2852" s="11"/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  <c r="N2852" s="11"/>
      <c r="O2852" s="11"/>
      <c r="P2852" s="11"/>
      <c r="Q2852" s="11"/>
      <c r="R2852" s="11"/>
      <c r="S2852" s="11"/>
    </row>
    <row r="2853" spans="1:19" s="9" customFormat="1" x14ac:dyDescent="0.25">
      <c r="A2853" s="10"/>
      <c r="B2853" s="11"/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  <c r="N2853" s="11"/>
      <c r="O2853" s="11"/>
      <c r="P2853" s="11"/>
      <c r="Q2853" s="11"/>
      <c r="R2853" s="11"/>
      <c r="S2853" s="11"/>
    </row>
    <row r="2854" spans="1:19" s="9" customFormat="1" x14ac:dyDescent="0.25">
      <c r="A2854" s="10"/>
      <c r="B2854" s="11"/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  <c r="N2854" s="11"/>
      <c r="O2854" s="11"/>
      <c r="P2854" s="11"/>
      <c r="Q2854" s="11"/>
      <c r="R2854" s="11"/>
      <c r="S2854" s="11"/>
    </row>
    <row r="2855" spans="1:19" s="9" customFormat="1" x14ac:dyDescent="0.25">
      <c r="A2855" s="10"/>
      <c r="B2855" s="11"/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</row>
    <row r="2856" spans="1:19" s="9" customFormat="1" x14ac:dyDescent="0.25">
      <c r="A2856" s="10"/>
      <c r="B2856" s="11"/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  <c r="M2856" s="11"/>
      <c r="N2856" s="11"/>
      <c r="O2856" s="11"/>
      <c r="P2856" s="11"/>
      <c r="Q2856" s="11"/>
      <c r="R2856" s="11"/>
      <c r="S2856" s="11"/>
    </row>
    <row r="2857" spans="1:19" s="9" customFormat="1" x14ac:dyDescent="0.25">
      <c r="A2857" s="10"/>
      <c r="B2857" s="11"/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  <c r="N2857" s="11"/>
      <c r="O2857" s="11"/>
      <c r="P2857" s="11"/>
      <c r="Q2857" s="11"/>
      <c r="R2857" s="11"/>
      <c r="S2857" s="11"/>
    </row>
    <row r="2858" spans="1:19" s="9" customFormat="1" x14ac:dyDescent="0.25">
      <c r="A2858" s="10"/>
      <c r="B2858" s="11"/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11"/>
      <c r="S2858" s="11"/>
    </row>
    <row r="2859" spans="1:19" s="9" customFormat="1" x14ac:dyDescent="0.25">
      <c r="A2859" s="10"/>
      <c r="B2859" s="11"/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</row>
    <row r="2860" spans="1:19" s="9" customFormat="1" x14ac:dyDescent="0.25">
      <c r="A2860" s="10"/>
      <c r="B2860" s="11"/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  <c r="R2860" s="11"/>
      <c r="S2860" s="11"/>
    </row>
    <row r="2861" spans="1:19" s="9" customFormat="1" x14ac:dyDescent="0.25">
      <c r="A2861" s="10"/>
      <c r="B2861" s="11"/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1"/>
      <c r="O2861" s="11"/>
      <c r="P2861" s="11"/>
      <c r="Q2861" s="11"/>
      <c r="R2861" s="11"/>
      <c r="S2861" s="11"/>
    </row>
    <row r="2862" spans="1:19" s="9" customFormat="1" x14ac:dyDescent="0.25">
      <c r="A2862" s="10"/>
      <c r="B2862" s="11"/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  <c r="R2862" s="11"/>
      <c r="S2862" s="11"/>
    </row>
    <row r="2863" spans="1:19" s="9" customFormat="1" x14ac:dyDescent="0.25">
      <c r="A2863" s="10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  <c r="O2863" s="11"/>
      <c r="P2863" s="11"/>
      <c r="Q2863" s="11"/>
      <c r="R2863" s="11"/>
      <c r="S2863" s="11"/>
    </row>
    <row r="2864" spans="1:19" s="9" customFormat="1" x14ac:dyDescent="0.25">
      <c r="A2864" s="10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  <c r="R2864" s="11"/>
      <c r="S2864" s="11"/>
    </row>
    <row r="2865" spans="1:19" s="9" customFormat="1" x14ac:dyDescent="0.25">
      <c r="A2865" s="10"/>
      <c r="B2865" s="11"/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  <c r="N2865" s="11"/>
      <c r="O2865" s="11"/>
      <c r="P2865" s="11"/>
      <c r="Q2865" s="11"/>
      <c r="R2865" s="11"/>
      <c r="S2865" s="11"/>
    </row>
    <row r="2866" spans="1:19" s="9" customFormat="1" x14ac:dyDescent="0.25">
      <c r="A2866" s="10"/>
      <c r="B2866" s="11"/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</row>
    <row r="2867" spans="1:19" s="9" customFormat="1" x14ac:dyDescent="0.25">
      <c r="A2867" s="10"/>
      <c r="B2867" s="11"/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  <c r="R2867" s="11"/>
      <c r="S2867" s="11"/>
    </row>
    <row r="2868" spans="1:19" s="9" customFormat="1" x14ac:dyDescent="0.25">
      <c r="A2868" s="10"/>
      <c r="B2868" s="11"/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  <c r="R2868" s="11"/>
      <c r="S2868" s="11"/>
    </row>
    <row r="2869" spans="1:19" s="9" customFormat="1" x14ac:dyDescent="0.25">
      <c r="A2869" s="10"/>
      <c r="B2869" s="11"/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  <c r="N2869" s="11"/>
      <c r="O2869" s="11"/>
      <c r="P2869" s="11"/>
      <c r="Q2869" s="11"/>
      <c r="R2869" s="11"/>
      <c r="S2869" s="11"/>
    </row>
    <row r="2870" spans="1:19" s="9" customFormat="1" x14ac:dyDescent="0.25">
      <c r="A2870" s="10"/>
      <c r="B2870" s="11"/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  <c r="N2870" s="11"/>
      <c r="O2870" s="11"/>
      <c r="P2870" s="11"/>
      <c r="Q2870" s="11"/>
      <c r="R2870" s="11"/>
      <c r="S2870" s="11"/>
    </row>
    <row r="2871" spans="1:19" s="9" customFormat="1" x14ac:dyDescent="0.25">
      <c r="A2871" s="10"/>
      <c r="B2871" s="11"/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  <c r="M2871" s="11"/>
      <c r="N2871" s="11"/>
      <c r="O2871" s="11"/>
      <c r="P2871" s="11"/>
      <c r="Q2871" s="11"/>
      <c r="R2871" s="11"/>
      <c r="S2871" s="11"/>
    </row>
    <row r="2872" spans="1:19" s="9" customFormat="1" x14ac:dyDescent="0.25">
      <c r="A2872" s="10"/>
      <c r="B2872" s="11"/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/>
      <c r="S2872" s="11"/>
    </row>
    <row r="2873" spans="1:19" s="9" customFormat="1" x14ac:dyDescent="0.25">
      <c r="A2873" s="10"/>
      <c r="B2873" s="11"/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  <c r="R2873" s="11"/>
      <c r="S2873" s="11"/>
    </row>
    <row r="2874" spans="1:19" s="9" customFormat="1" x14ac:dyDescent="0.25">
      <c r="A2874" s="10"/>
      <c r="B2874" s="11"/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  <c r="R2874" s="11"/>
      <c r="S2874" s="11"/>
    </row>
    <row r="2875" spans="1:19" s="9" customFormat="1" x14ac:dyDescent="0.25">
      <c r="A2875" s="10"/>
      <c r="B2875" s="11"/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  <c r="M2875" s="11"/>
      <c r="N2875" s="11"/>
      <c r="O2875" s="11"/>
      <c r="P2875" s="11"/>
      <c r="Q2875" s="11"/>
      <c r="R2875" s="11"/>
      <c r="S2875" s="11"/>
    </row>
    <row r="2876" spans="1:19" s="9" customFormat="1" x14ac:dyDescent="0.25">
      <c r="A2876" s="10"/>
      <c r="B2876" s="11"/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  <c r="N2876" s="11"/>
      <c r="O2876" s="11"/>
      <c r="P2876" s="11"/>
      <c r="Q2876" s="11"/>
      <c r="R2876" s="11"/>
      <c r="S2876" s="11"/>
    </row>
    <row r="2877" spans="1:19" s="9" customFormat="1" x14ac:dyDescent="0.25">
      <c r="A2877" s="10"/>
      <c r="B2877" s="11"/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</row>
    <row r="2878" spans="1:19" s="9" customFormat="1" x14ac:dyDescent="0.25">
      <c r="A2878" s="10"/>
      <c r="B2878" s="11"/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/>
      <c r="S2878" s="11"/>
    </row>
    <row r="2879" spans="1:19" s="9" customFormat="1" x14ac:dyDescent="0.25">
      <c r="A2879" s="10"/>
      <c r="B2879" s="11"/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  <c r="M2879" s="11"/>
      <c r="N2879" s="11"/>
      <c r="O2879" s="11"/>
      <c r="P2879" s="11"/>
      <c r="Q2879" s="11"/>
      <c r="R2879" s="11"/>
      <c r="S2879" s="11"/>
    </row>
    <row r="2880" spans="1:19" s="9" customFormat="1" x14ac:dyDescent="0.25">
      <c r="A2880" s="10"/>
      <c r="B2880" s="11"/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  <c r="R2880" s="11"/>
      <c r="S2880" s="11"/>
    </row>
    <row r="2881" spans="1:19" s="9" customFormat="1" x14ac:dyDescent="0.25">
      <c r="A2881" s="10"/>
      <c r="B2881" s="11"/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  <c r="M2881" s="11"/>
      <c r="N2881" s="11"/>
      <c r="O2881" s="11"/>
      <c r="P2881" s="11"/>
      <c r="Q2881" s="11"/>
      <c r="R2881" s="11"/>
      <c r="S2881" s="11"/>
    </row>
    <row r="2882" spans="1:19" s="9" customFormat="1" x14ac:dyDescent="0.25">
      <c r="A2882" s="10"/>
      <c r="B2882" s="11"/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11"/>
      <c r="S2882" s="11"/>
    </row>
    <row r="2883" spans="1:19" s="9" customFormat="1" x14ac:dyDescent="0.25">
      <c r="A2883" s="10"/>
      <c r="B2883" s="11"/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  <c r="R2883" s="11"/>
      <c r="S2883" s="11"/>
    </row>
    <row r="2884" spans="1:19" s="9" customFormat="1" x14ac:dyDescent="0.25">
      <c r="A2884" s="10"/>
      <c r="B2884" s="11"/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1"/>
    </row>
    <row r="2885" spans="1:19" s="9" customFormat="1" x14ac:dyDescent="0.25">
      <c r="A2885" s="10"/>
      <c r="B2885" s="11"/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  <c r="R2885" s="11"/>
      <c r="S2885" s="11"/>
    </row>
    <row r="2886" spans="1:19" s="9" customFormat="1" x14ac:dyDescent="0.25">
      <c r="A2886" s="10"/>
      <c r="B2886" s="11"/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  <c r="R2886" s="11"/>
      <c r="S2886" s="11"/>
    </row>
    <row r="2887" spans="1:19" s="9" customFormat="1" x14ac:dyDescent="0.25">
      <c r="A2887" s="10"/>
      <c r="B2887" s="11"/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  <c r="R2887" s="11"/>
      <c r="S2887" s="11"/>
    </row>
    <row r="2888" spans="1:19" s="9" customFormat="1" x14ac:dyDescent="0.25">
      <c r="A2888" s="10"/>
      <c r="B2888" s="11"/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1"/>
    </row>
    <row r="2889" spans="1:19" s="9" customFormat="1" x14ac:dyDescent="0.25">
      <c r="A2889" s="10"/>
      <c r="B2889" s="11"/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1"/>
      <c r="Q2889" s="11"/>
      <c r="R2889" s="11"/>
      <c r="S2889" s="11"/>
    </row>
    <row r="2890" spans="1:19" s="9" customFormat="1" x14ac:dyDescent="0.25">
      <c r="A2890" s="10"/>
      <c r="B2890" s="11"/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  <c r="R2890" s="11"/>
      <c r="S2890" s="11"/>
    </row>
    <row r="2891" spans="1:19" s="9" customFormat="1" x14ac:dyDescent="0.25">
      <c r="A2891" s="10"/>
      <c r="B2891" s="11"/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11"/>
      <c r="N2891" s="11"/>
      <c r="O2891" s="11"/>
      <c r="P2891" s="11"/>
      <c r="Q2891" s="11"/>
      <c r="R2891" s="11"/>
      <c r="S2891" s="11"/>
    </row>
    <row r="2892" spans="1:19" s="9" customFormat="1" x14ac:dyDescent="0.25">
      <c r="A2892" s="10"/>
      <c r="B2892" s="11"/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1"/>
    </row>
    <row r="2893" spans="1:19" s="9" customFormat="1" x14ac:dyDescent="0.25">
      <c r="A2893" s="10"/>
      <c r="B2893" s="11"/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  <c r="M2893" s="11"/>
      <c r="N2893" s="11"/>
      <c r="O2893" s="11"/>
      <c r="P2893" s="11"/>
      <c r="Q2893" s="11"/>
      <c r="R2893" s="11"/>
      <c r="S2893" s="11"/>
    </row>
    <row r="2894" spans="1:19" s="9" customFormat="1" x14ac:dyDescent="0.25">
      <c r="A2894" s="10"/>
      <c r="B2894" s="11"/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1"/>
    </row>
    <row r="2895" spans="1:19" s="9" customFormat="1" x14ac:dyDescent="0.25">
      <c r="A2895" s="10"/>
      <c r="B2895" s="11"/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  <c r="N2895" s="11"/>
      <c r="O2895" s="11"/>
      <c r="P2895" s="11"/>
      <c r="Q2895" s="11"/>
      <c r="R2895" s="11"/>
      <c r="S2895" s="11"/>
    </row>
    <row r="2896" spans="1:19" s="9" customFormat="1" x14ac:dyDescent="0.25">
      <c r="A2896" s="10"/>
      <c r="B2896" s="11"/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</row>
    <row r="2897" spans="1:19" s="9" customFormat="1" x14ac:dyDescent="0.25">
      <c r="A2897" s="10"/>
      <c r="B2897" s="11"/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</row>
    <row r="2898" spans="1:19" s="9" customFormat="1" x14ac:dyDescent="0.25">
      <c r="A2898" s="10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1"/>
    </row>
    <row r="2899" spans="1:19" s="9" customFormat="1" x14ac:dyDescent="0.25">
      <c r="A2899" s="10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</row>
    <row r="2900" spans="1:19" s="9" customFormat="1" x14ac:dyDescent="0.25">
      <c r="A2900" s="10"/>
      <c r="B2900" s="11"/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S2900" s="11"/>
    </row>
    <row r="2901" spans="1:19" s="9" customFormat="1" x14ac:dyDescent="0.25">
      <c r="A2901" s="10"/>
      <c r="B2901" s="11"/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S2901" s="11"/>
    </row>
    <row r="2902" spans="1:19" s="9" customFormat="1" x14ac:dyDescent="0.25">
      <c r="A2902" s="10"/>
      <c r="B2902" s="11"/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1"/>
    </row>
    <row r="2903" spans="1:19" s="9" customFormat="1" x14ac:dyDescent="0.25">
      <c r="A2903" s="10"/>
      <c r="B2903" s="11"/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  <c r="M2903" s="11"/>
      <c r="N2903" s="11"/>
      <c r="O2903" s="11"/>
      <c r="P2903" s="11"/>
      <c r="Q2903" s="11"/>
      <c r="R2903" s="11"/>
      <c r="S2903" s="11"/>
    </row>
    <row r="2904" spans="1:19" s="9" customFormat="1" x14ac:dyDescent="0.25">
      <c r="A2904" s="10"/>
      <c r="B2904" s="11"/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  <c r="N2904" s="11"/>
      <c r="O2904" s="11"/>
      <c r="P2904" s="11"/>
      <c r="Q2904" s="11"/>
      <c r="R2904" s="11"/>
      <c r="S2904" s="11"/>
    </row>
    <row r="2905" spans="1:19" s="9" customFormat="1" x14ac:dyDescent="0.25">
      <c r="A2905" s="10"/>
      <c r="B2905" s="11"/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  <c r="M2905" s="11"/>
      <c r="N2905" s="11"/>
      <c r="O2905" s="11"/>
      <c r="P2905" s="11"/>
      <c r="Q2905" s="11"/>
      <c r="R2905" s="11"/>
      <c r="S2905" s="11"/>
    </row>
    <row r="2906" spans="1:19" s="9" customFormat="1" x14ac:dyDescent="0.25">
      <c r="A2906" s="10"/>
      <c r="B2906" s="11"/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  <c r="N2906" s="11"/>
      <c r="O2906" s="11"/>
      <c r="P2906" s="11"/>
      <c r="Q2906" s="11"/>
      <c r="R2906" s="11"/>
      <c r="S2906" s="11"/>
    </row>
    <row r="2907" spans="1:19" s="9" customFormat="1" x14ac:dyDescent="0.25">
      <c r="A2907" s="10"/>
      <c r="B2907" s="11"/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  <c r="M2907" s="11"/>
      <c r="N2907" s="11"/>
      <c r="O2907" s="11"/>
      <c r="P2907" s="11"/>
      <c r="Q2907" s="11"/>
      <c r="R2907" s="11"/>
      <c r="S2907" s="11"/>
    </row>
    <row r="2908" spans="1:19" s="9" customFormat="1" x14ac:dyDescent="0.25">
      <c r="A2908" s="10"/>
      <c r="B2908" s="11"/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</row>
    <row r="2909" spans="1:19" s="9" customFormat="1" x14ac:dyDescent="0.25">
      <c r="A2909" s="10"/>
      <c r="B2909" s="11"/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  <c r="M2909" s="11"/>
      <c r="N2909" s="11"/>
      <c r="O2909" s="11"/>
      <c r="P2909" s="11"/>
      <c r="Q2909" s="11"/>
      <c r="R2909" s="11"/>
      <c r="S2909" s="11"/>
    </row>
    <row r="2910" spans="1:19" s="9" customFormat="1" x14ac:dyDescent="0.25">
      <c r="A2910" s="10"/>
      <c r="B2910" s="11"/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</row>
    <row r="2911" spans="1:19" s="9" customFormat="1" x14ac:dyDescent="0.25">
      <c r="A2911" s="10"/>
      <c r="B2911" s="11"/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  <c r="Q2911" s="11"/>
      <c r="R2911" s="11"/>
      <c r="S2911" s="11"/>
    </row>
    <row r="2912" spans="1:19" s="9" customFormat="1" x14ac:dyDescent="0.25">
      <c r="A2912" s="10"/>
      <c r="B2912" s="11"/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  <c r="N2912" s="11"/>
      <c r="O2912" s="11"/>
      <c r="P2912" s="11"/>
      <c r="Q2912" s="11"/>
      <c r="R2912" s="11"/>
      <c r="S2912" s="11"/>
    </row>
    <row r="2913" spans="1:19" s="9" customFormat="1" x14ac:dyDescent="0.25">
      <c r="A2913" s="10"/>
      <c r="B2913" s="11"/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</row>
    <row r="2914" spans="1:19" s="9" customFormat="1" x14ac:dyDescent="0.25">
      <c r="A2914" s="10"/>
      <c r="B2914" s="11"/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  <c r="M2914" s="11"/>
      <c r="N2914" s="11"/>
      <c r="O2914" s="11"/>
      <c r="P2914" s="11"/>
      <c r="Q2914" s="11"/>
      <c r="R2914" s="11"/>
      <c r="S2914" s="11"/>
    </row>
    <row r="2915" spans="1:19" s="9" customFormat="1" x14ac:dyDescent="0.25">
      <c r="A2915" s="10"/>
      <c r="B2915" s="11"/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/>
      <c r="S2915" s="11"/>
    </row>
    <row r="2916" spans="1:19" s="9" customFormat="1" x14ac:dyDescent="0.25">
      <c r="A2916" s="10"/>
      <c r="B2916" s="11"/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/>
      <c r="S2916" s="11"/>
    </row>
    <row r="2917" spans="1:19" s="9" customFormat="1" x14ac:dyDescent="0.25">
      <c r="A2917" s="10"/>
      <c r="B2917" s="11"/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  <c r="M2917" s="11"/>
      <c r="N2917" s="11"/>
      <c r="O2917" s="11"/>
      <c r="P2917" s="11"/>
      <c r="Q2917" s="11"/>
      <c r="R2917" s="11"/>
      <c r="S2917" s="11"/>
    </row>
    <row r="2918" spans="1:19" s="9" customFormat="1" x14ac:dyDescent="0.25">
      <c r="A2918" s="10"/>
      <c r="B2918" s="11"/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  <c r="R2918" s="11"/>
      <c r="S2918" s="11"/>
    </row>
    <row r="2919" spans="1:19" s="9" customFormat="1" x14ac:dyDescent="0.25">
      <c r="A2919" s="10"/>
      <c r="B2919" s="11"/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  <c r="N2919" s="11"/>
      <c r="O2919" s="11"/>
      <c r="P2919" s="11"/>
      <c r="Q2919" s="11"/>
      <c r="R2919" s="11"/>
      <c r="S2919" s="11"/>
    </row>
    <row r="2920" spans="1:19" s="9" customFormat="1" x14ac:dyDescent="0.25">
      <c r="A2920" s="10"/>
      <c r="B2920" s="11"/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</row>
    <row r="2921" spans="1:19" s="9" customFormat="1" x14ac:dyDescent="0.25">
      <c r="A2921" s="10"/>
      <c r="B2921" s="11"/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  <c r="R2921" s="11"/>
      <c r="S2921" s="11"/>
    </row>
    <row r="2922" spans="1:19" s="9" customFormat="1" x14ac:dyDescent="0.25">
      <c r="A2922" s="10"/>
      <c r="B2922" s="11"/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  <c r="N2922" s="11"/>
      <c r="O2922" s="11"/>
      <c r="P2922" s="11"/>
      <c r="Q2922" s="11"/>
      <c r="R2922" s="11"/>
      <c r="S2922" s="11"/>
    </row>
    <row r="2923" spans="1:19" s="9" customFormat="1" x14ac:dyDescent="0.25">
      <c r="A2923" s="10"/>
      <c r="B2923" s="11"/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11"/>
      <c r="N2923" s="11"/>
      <c r="O2923" s="11"/>
      <c r="P2923" s="11"/>
      <c r="Q2923" s="11"/>
      <c r="R2923" s="11"/>
      <c r="S2923" s="11"/>
    </row>
    <row r="2924" spans="1:19" s="9" customFormat="1" x14ac:dyDescent="0.25">
      <c r="A2924" s="10"/>
      <c r="B2924" s="11"/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  <c r="R2924" s="11"/>
      <c r="S2924" s="11"/>
    </row>
    <row r="2925" spans="1:19" s="9" customFormat="1" x14ac:dyDescent="0.25">
      <c r="A2925" s="10"/>
      <c r="B2925" s="11"/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  <c r="M2925" s="11"/>
      <c r="N2925" s="11"/>
      <c r="O2925" s="11"/>
      <c r="P2925" s="11"/>
      <c r="Q2925" s="11"/>
      <c r="R2925" s="11"/>
      <c r="S2925" s="11"/>
    </row>
    <row r="2926" spans="1:19" s="9" customFormat="1" x14ac:dyDescent="0.25">
      <c r="A2926" s="10"/>
      <c r="B2926" s="11"/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  <c r="N2926" s="11"/>
      <c r="O2926" s="11"/>
      <c r="P2926" s="11"/>
      <c r="Q2926" s="11"/>
      <c r="R2926" s="11"/>
      <c r="S2926" s="11"/>
    </row>
    <row r="2927" spans="1:19" s="9" customFormat="1" x14ac:dyDescent="0.25">
      <c r="A2927" s="10"/>
      <c r="B2927" s="11"/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  <c r="M2927" s="11"/>
      <c r="N2927" s="11"/>
      <c r="O2927" s="11"/>
      <c r="P2927" s="11"/>
      <c r="Q2927" s="11"/>
      <c r="R2927" s="11"/>
      <c r="S2927" s="11"/>
    </row>
    <row r="2928" spans="1:19" s="9" customFormat="1" x14ac:dyDescent="0.25">
      <c r="A2928" s="10"/>
      <c r="B2928" s="11"/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1"/>
    </row>
    <row r="2929" spans="1:19" s="9" customFormat="1" x14ac:dyDescent="0.25">
      <c r="A2929" s="10"/>
      <c r="B2929" s="11"/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  <c r="R2929" s="11"/>
      <c r="S2929" s="11"/>
    </row>
    <row r="2930" spans="1:19" s="9" customFormat="1" x14ac:dyDescent="0.25">
      <c r="A2930" s="10"/>
      <c r="B2930" s="11"/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</row>
    <row r="2931" spans="1:19" s="9" customFormat="1" x14ac:dyDescent="0.25">
      <c r="A2931" s="10"/>
      <c r="B2931" s="11"/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  <c r="R2931" s="11"/>
      <c r="S2931" s="11"/>
    </row>
    <row r="2932" spans="1:19" s="9" customFormat="1" x14ac:dyDescent="0.25">
      <c r="A2932" s="10"/>
      <c r="B2932" s="11"/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</row>
    <row r="2933" spans="1:19" s="9" customFormat="1" x14ac:dyDescent="0.25">
      <c r="A2933" s="10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  <c r="R2933" s="11"/>
      <c r="S2933" s="11"/>
    </row>
    <row r="2934" spans="1:19" s="9" customFormat="1" x14ac:dyDescent="0.25">
      <c r="A2934" s="10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1"/>
    </row>
    <row r="2935" spans="1:19" s="9" customFormat="1" x14ac:dyDescent="0.25">
      <c r="A2935" s="10"/>
      <c r="B2935" s="11"/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  <c r="N2935" s="11"/>
      <c r="O2935" s="11"/>
      <c r="P2935" s="11"/>
      <c r="Q2935" s="11"/>
      <c r="R2935" s="11"/>
      <c r="S2935" s="11"/>
    </row>
    <row r="2936" spans="1:19" s="9" customFormat="1" x14ac:dyDescent="0.25">
      <c r="A2936" s="10"/>
      <c r="B2936" s="11"/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  <c r="Q2936" s="11"/>
      <c r="R2936" s="11"/>
      <c r="S2936" s="11"/>
    </row>
    <row r="2937" spans="1:19" s="9" customFormat="1" x14ac:dyDescent="0.25">
      <c r="A2937" s="10"/>
      <c r="B2937" s="11"/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  <c r="R2937" s="11"/>
      <c r="S2937" s="11"/>
    </row>
    <row r="2938" spans="1:19" s="9" customFormat="1" x14ac:dyDescent="0.25">
      <c r="A2938" s="10"/>
      <c r="B2938" s="11"/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</row>
    <row r="2939" spans="1:19" s="9" customFormat="1" x14ac:dyDescent="0.25">
      <c r="A2939" s="10"/>
      <c r="B2939" s="11"/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  <c r="N2939" s="11"/>
      <c r="O2939" s="11"/>
      <c r="P2939" s="11"/>
      <c r="Q2939" s="11"/>
      <c r="R2939" s="11"/>
      <c r="S2939" s="11"/>
    </row>
    <row r="2940" spans="1:19" s="9" customFormat="1" x14ac:dyDescent="0.25">
      <c r="A2940" s="10"/>
      <c r="B2940" s="11"/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  <c r="N2940" s="11"/>
      <c r="O2940" s="11"/>
      <c r="P2940" s="11"/>
      <c r="Q2940" s="11"/>
      <c r="R2940" s="11"/>
      <c r="S2940" s="11"/>
    </row>
    <row r="2941" spans="1:19" s="9" customFormat="1" x14ac:dyDescent="0.25">
      <c r="A2941" s="10"/>
      <c r="B2941" s="11"/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  <c r="N2941" s="11"/>
      <c r="O2941" s="11"/>
      <c r="P2941" s="11"/>
      <c r="Q2941" s="11"/>
      <c r="R2941" s="11"/>
      <c r="S2941" s="11"/>
    </row>
    <row r="2942" spans="1:19" s="9" customFormat="1" x14ac:dyDescent="0.25">
      <c r="A2942" s="10"/>
      <c r="B2942" s="11"/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</row>
    <row r="2943" spans="1:19" s="9" customFormat="1" x14ac:dyDescent="0.25">
      <c r="A2943" s="10"/>
      <c r="B2943" s="11"/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</row>
    <row r="2944" spans="1:19" s="9" customFormat="1" x14ac:dyDescent="0.25">
      <c r="A2944" s="10"/>
      <c r="B2944" s="11"/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</row>
    <row r="2945" spans="1:19" s="9" customFormat="1" x14ac:dyDescent="0.25">
      <c r="A2945" s="10"/>
      <c r="B2945" s="11"/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</row>
    <row r="2946" spans="1:19" s="9" customFormat="1" x14ac:dyDescent="0.25">
      <c r="A2946" s="10"/>
      <c r="B2946" s="11"/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  <c r="R2946" s="11"/>
      <c r="S2946" s="11"/>
    </row>
    <row r="2947" spans="1:19" s="9" customFormat="1" x14ac:dyDescent="0.25">
      <c r="A2947" s="10"/>
      <c r="B2947" s="11"/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  <c r="R2947" s="11"/>
      <c r="S2947" s="11"/>
    </row>
    <row r="2948" spans="1:19" s="9" customFormat="1" x14ac:dyDescent="0.25">
      <c r="A2948" s="10"/>
      <c r="B2948" s="11"/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1"/>
    </row>
    <row r="2949" spans="1:19" s="9" customFormat="1" x14ac:dyDescent="0.25">
      <c r="A2949" s="10"/>
      <c r="B2949" s="11"/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</row>
    <row r="2950" spans="1:19" s="9" customFormat="1" x14ac:dyDescent="0.25">
      <c r="A2950" s="10"/>
      <c r="B2950" s="11"/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  <c r="N2950" s="11"/>
      <c r="O2950" s="11"/>
      <c r="P2950" s="11"/>
      <c r="Q2950" s="11"/>
      <c r="R2950" s="11"/>
      <c r="S2950" s="11"/>
    </row>
    <row r="2951" spans="1:19" s="9" customFormat="1" x14ac:dyDescent="0.25">
      <c r="A2951" s="10"/>
      <c r="B2951" s="11"/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</row>
    <row r="2952" spans="1:19" s="9" customFormat="1" x14ac:dyDescent="0.25">
      <c r="A2952" s="10"/>
      <c r="B2952" s="11"/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</row>
    <row r="2953" spans="1:19" s="9" customFormat="1" x14ac:dyDescent="0.25">
      <c r="A2953" s="10"/>
      <c r="B2953" s="11"/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</row>
    <row r="2954" spans="1:19" s="9" customFormat="1" x14ac:dyDescent="0.25">
      <c r="A2954" s="10"/>
      <c r="B2954" s="11"/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</row>
    <row r="2955" spans="1:19" s="9" customFormat="1" x14ac:dyDescent="0.25">
      <c r="A2955" s="10"/>
      <c r="B2955" s="11"/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</row>
    <row r="2956" spans="1:19" s="9" customFormat="1" x14ac:dyDescent="0.25">
      <c r="A2956" s="10"/>
      <c r="B2956" s="11"/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  <c r="Q2956" s="11"/>
      <c r="R2956" s="11"/>
      <c r="S2956" s="11"/>
    </row>
    <row r="2957" spans="1:19" s="9" customFormat="1" x14ac:dyDescent="0.25">
      <c r="A2957" s="10"/>
      <c r="B2957" s="11"/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1"/>
      <c r="Q2957" s="11"/>
      <c r="R2957" s="11"/>
      <c r="S2957" s="11"/>
    </row>
    <row r="2958" spans="1:19" s="9" customFormat="1" x14ac:dyDescent="0.25">
      <c r="A2958" s="10"/>
      <c r="B2958" s="11"/>
      <c r="C2958" s="11"/>
      <c r="D2958" s="11"/>
      <c r="E2958" s="11"/>
      <c r="F2958" s="11"/>
      <c r="G2958" s="11"/>
      <c r="H2958" s="11"/>
      <c r="I2958" s="11"/>
      <c r="J2958" s="11"/>
      <c r="K2958" s="11"/>
      <c r="L2958" s="11"/>
      <c r="M2958" s="11"/>
      <c r="N2958" s="11"/>
      <c r="O2958" s="11"/>
      <c r="P2958" s="11"/>
      <c r="Q2958" s="11"/>
      <c r="R2958" s="11"/>
      <c r="S2958" s="11"/>
    </row>
    <row r="2959" spans="1:19" s="9" customFormat="1" x14ac:dyDescent="0.25">
      <c r="A2959" s="10"/>
      <c r="B2959" s="11"/>
      <c r="C2959" s="11"/>
      <c r="D2959" s="11"/>
      <c r="E2959" s="11"/>
      <c r="F2959" s="11"/>
      <c r="G2959" s="11"/>
      <c r="H2959" s="11"/>
      <c r="I2959" s="11"/>
      <c r="J2959" s="11"/>
      <c r="K2959" s="11"/>
      <c r="L2959" s="11"/>
      <c r="M2959" s="11"/>
      <c r="N2959" s="11"/>
      <c r="O2959" s="11"/>
      <c r="P2959" s="11"/>
      <c r="Q2959" s="11"/>
      <c r="R2959" s="11"/>
      <c r="S2959" s="11"/>
    </row>
    <row r="2960" spans="1:19" s="9" customFormat="1" x14ac:dyDescent="0.25">
      <c r="A2960" s="10"/>
      <c r="B2960" s="11"/>
      <c r="C2960" s="11"/>
      <c r="D2960" s="11"/>
      <c r="E2960" s="11"/>
      <c r="F2960" s="11"/>
      <c r="G2960" s="11"/>
      <c r="H2960" s="11"/>
      <c r="I2960" s="11"/>
      <c r="J2960" s="11"/>
      <c r="K2960" s="11"/>
      <c r="L2960" s="11"/>
      <c r="M2960" s="11"/>
      <c r="N2960" s="11"/>
      <c r="O2960" s="11"/>
      <c r="P2960" s="11"/>
      <c r="Q2960" s="11"/>
      <c r="R2960" s="11"/>
      <c r="S2960" s="11"/>
    </row>
    <row r="2961" spans="1:19" s="9" customFormat="1" x14ac:dyDescent="0.25">
      <c r="A2961" s="10"/>
      <c r="B2961" s="11"/>
      <c r="C2961" s="11"/>
      <c r="D2961" s="11"/>
      <c r="E2961" s="11"/>
      <c r="F2961" s="11"/>
      <c r="G2961" s="11"/>
      <c r="H2961" s="11"/>
      <c r="I2961" s="11"/>
      <c r="J2961" s="11"/>
      <c r="K2961" s="11"/>
      <c r="L2961" s="11"/>
      <c r="M2961" s="11"/>
      <c r="N2961" s="11"/>
      <c r="O2961" s="11"/>
      <c r="P2961" s="11"/>
      <c r="Q2961" s="11"/>
      <c r="R2961" s="11"/>
      <c r="S2961" s="11"/>
    </row>
    <row r="2962" spans="1:19" s="9" customFormat="1" x14ac:dyDescent="0.25">
      <c r="A2962" s="10"/>
      <c r="B2962" s="11"/>
      <c r="C2962" s="11"/>
      <c r="D2962" s="11"/>
      <c r="E2962" s="11"/>
      <c r="F2962" s="11"/>
      <c r="G2962" s="11"/>
      <c r="H2962" s="11"/>
      <c r="I2962" s="11"/>
      <c r="J2962" s="11"/>
      <c r="K2962" s="11"/>
      <c r="L2962" s="11"/>
      <c r="M2962" s="11"/>
      <c r="N2962" s="11"/>
      <c r="O2962" s="11"/>
      <c r="P2962" s="11"/>
      <c r="Q2962" s="11"/>
      <c r="R2962" s="11"/>
      <c r="S2962" s="11"/>
    </row>
    <row r="2963" spans="1:19" s="9" customFormat="1" x14ac:dyDescent="0.25">
      <c r="A2963" s="10"/>
      <c r="B2963" s="11"/>
      <c r="C2963" s="11"/>
      <c r="D2963" s="11"/>
      <c r="E2963" s="11"/>
      <c r="F2963" s="11"/>
      <c r="G2963" s="11"/>
      <c r="H2963" s="11"/>
      <c r="I2963" s="11"/>
      <c r="J2963" s="11"/>
      <c r="K2963" s="11"/>
      <c r="L2963" s="11"/>
      <c r="M2963" s="11"/>
      <c r="N2963" s="11"/>
      <c r="O2963" s="11"/>
      <c r="P2963" s="11"/>
      <c r="Q2963" s="11"/>
      <c r="R2963" s="11"/>
      <c r="S2963" s="11"/>
    </row>
    <row r="2964" spans="1:19" s="9" customFormat="1" x14ac:dyDescent="0.25">
      <c r="A2964" s="10"/>
      <c r="B2964" s="11"/>
      <c r="C2964" s="11"/>
      <c r="D2964" s="11"/>
      <c r="E2964" s="11"/>
      <c r="F2964" s="11"/>
      <c r="G2964" s="11"/>
      <c r="H2964" s="11"/>
      <c r="I2964" s="11"/>
      <c r="J2964" s="11"/>
      <c r="K2964" s="11"/>
      <c r="L2964" s="11"/>
      <c r="M2964" s="11"/>
      <c r="N2964" s="11"/>
      <c r="O2964" s="11"/>
      <c r="P2964" s="11"/>
      <c r="Q2964" s="11"/>
      <c r="R2964" s="11"/>
      <c r="S2964" s="11"/>
    </row>
    <row r="2965" spans="1:19" s="9" customFormat="1" x14ac:dyDescent="0.25">
      <c r="A2965" s="10"/>
      <c r="B2965" s="11"/>
      <c r="C2965" s="11"/>
      <c r="D2965" s="11"/>
      <c r="E2965" s="11"/>
      <c r="F2965" s="11"/>
      <c r="G2965" s="11"/>
      <c r="H2965" s="11"/>
      <c r="I2965" s="11"/>
      <c r="J2965" s="11"/>
      <c r="K2965" s="11"/>
      <c r="L2965" s="11"/>
      <c r="M2965" s="11"/>
      <c r="N2965" s="11"/>
      <c r="O2965" s="11"/>
      <c r="P2965" s="11"/>
      <c r="Q2965" s="11"/>
      <c r="R2965" s="11"/>
      <c r="S2965" s="11"/>
    </row>
    <row r="2966" spans="1:19" s="9" customFormat="1" x14ac:dyDescent="0.25">
      <c r="A2966" s="10"/>
      <c r="B2966" s="11"/>
      <c r="C2966" s="11"/>
      <c r="D2966" s="11"/>
      <c r="E2966" s="11"/>
      <c r="F2966" s="11"/>
      <c r="G2966" s="11"/>
      <c r="H2966" s="11"/>
      <c r="I2966" s="11"/>
      <c r="J2966" s="11"/>
      <c r="K2966" s="11"/>
      <c r="L2966" s="11"/>
      <c r="M2966" s="11"/>
      <c r="N2966" s="11"/>
      <c r="O2966" s="11"/>
      <c r="P2966" s="11"/>
      <c r="Q2966" s="11"/>
      <c r="R2966" s="11"/>
      <c r="S2966" s="11"/>
    </row>
    <row r="2967" spans="1:19" s="9" customFormat="1" x14ac:dyDescent="0.25">
      <c r="A2967" s="10"/>
      <c r="B2967" s="11"/>
      <c r="C2967" s="11"/>
      <c r="D2967" s="11"/>
      <c r="E2967" s="11"/>
      <c r="F2967" s="11"/>
      <c r="G2967" s="11"/>
      <c r="H2967" s="11"/>
      <c r="I2967" s="11"/>
      <c r="J2967" s="11"/>
      <c r="K2967" s="11"/>
      <c r="L2967" s="11"/>
      <c r="M2967" s="11"/>
      <c r="N2967" s="11"/>
      <c r="O2967" s="11"/>
      <c r="P2967" s="11"/>
      <c r="Q2967" s="11"/>
      <c r="R2967" s="11"/>
      <c r="S2967" s="11"/>
    </row>
    <row r="2968" spans="1:19" s="9" customFormat="1" x14ac:dyDescent="0.25">
      <c r="A2968" s="10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  <c r="O2968" s="11"/>
      <c r="P2968" s="11"/>
      <c r="Q2968" s="11"/>
      <c r="R2968" s="11"/>
      <c r="S2968" s="11"/>
    </row>
    <row r="2969" spans="1:19" s="9" customFormat="1" x14ac:dyDescent="0.25">
      <c r="A2969" s="10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  <c r="O2969" s="11"/>
      <c r="P2969" s="11"/>
      <c r="Q2969" s="11"/>
      <c r="R2969" s="11"/>
      <c r="S2969" s="11"/>
    </row>
    <row r="2970" spans="1:19" s="9" customFormat="1" x14ac:dyDescent="0.25">
      <c r="A2970" s="10"/>
      <c r="B2970" s="11"/>
      <c r="C2970" s="11"/>
      <c r="D2970" s="11"/>
      <c r="E2970" s="11"/>
      <c r="F2970" s="11"/>
      <c r="G2970" s="11"/>
      <c r="H2970" s="11"/>
      <c r="I2970" s="11"/>
      <c r="J2970" s="11"/>
      <c r="K2970" s="11"/>
      <c r="L2970" s="11"/>
      <c r="M2970" s="11"/>
      <c r="N2970" s="11"/>
      <c r="O2970" s="11"/>
      <c r="P2970" s="11"/>
      <c r="Q2970" s="11"/>
      <c r="R2970" s="11"/>
      <c r="S2970" s="11"/>
    </row>
    <row r="2971" spans="1:19" s="9" customFormat="1" x14ac:dyDescent="0.25">
      <c r="A2971" s="10"/>
      <c r="B2971" s="11"/>
      <c r="C2971" s="11"/>
      <c r="D2971" s="11"/>
      <c r="E2971" s="11"/>
      <c r="F2971" s="11"/>
      <c r="G2971" s="11"/>
      <c r="H2971" s="11"/>
      <c r="I2971" s="11"/>
      <c r="J2971" s="11"/>
      <c r="K2971" s="11"/>
      <c r="L2971" s="11"/>
      <c r="M2971" s="11"/>
      <c r="N2971" s="11"/>
      <c r="O2971" s="11"/>
      <c r="P2971" s="11"/>
      <c r="Q2971" s="11"/>
      <c r="R2971" s="11"/>
      <c r="S2971" s="11"/>
    </row>
    <row r="2972" spans="1:19" s="9" customFormat="1" x14ac:dyDescent="0.25">
      <c r="A2972" s="10"/>
      <c r="B2972" s="11"/>
      <c r="C2972" s="11"/>
      <c r="D2972" s="11"/>
      <c r="E2972" s="11"/>
      <c r="F2972" s="11"/>
      <c r="G2972" s="11"/>
      <c r="H2972" s="11"/>
      <c r="I2972" s="11"/>
      <c r="J2972" s="11"/>
      <c r="K2972" s="11"/>
      <c r="L2972" s="11"/>
      <c r="M2972" s="11"/>
      <c r="N2972" s="11"/>
      <c r="O2972" s="11"/>
      <c r="P2972" s="11"/>
      <c r="Q2972" s="11"/>
      <c r="R2972" s="11"/>
      <c r="S2972" s="11"/>
    </row>
    <row r="2973" spans="1:19" s="9" customFormat="1" x14ac:dyDescent="0.25">
      <c r="A2973" s="10"/>
      <c r="B2973" s="11"/>
      <c r="C2973" s="11"/>
      <c r="D2973" s="11"/>
      <c r="E2973" s="11"/>
      <c r="F2973" s="11"/>
      <c r="G2973" s="11"/>
      <c r="H2973" s="11"/>
      <c r="I2973" s="11"/>
      <c r="J2973" s="11"/>
      <c r="K2973" s="11"/>
      <c r="L2973" s="11"/>
      <c r="M2973" s="11"/>
      <c r="N2973" s="11"/>
      <c r="O2973" s="11"/>
      <c r="P2973" s="11"/>
      <c r="Q2973" s="11"/>
      <c r="R2973" s="11"/>
      <c r="S2973" s="11"/>
    </row>
    <row r="2974" spans="1:19" s="9" customFormat="1" x14ac:dyDescent="0.25">
      <c r="A2974" s="10"/>
      <c r="B2974" s="11"/>
      <c r="C2974" s="11"/>
      <c r="D2974" s="11"/>
      <c r="E2974" s="11"/>
      <c r="F2974" s="11"/>
      <c r="G2974" s="11"/>
      <c r="H2974" s="11"/>
      <c r="I2974" s="11"/>
      <c r="J2974" s="11"/>
      <c r="K2974" s="11"/>
      <c r="L2974" s="11"/>
      <c r="M2974" s="11"/>
      <c r="N2974" s="11"/>
      <c r="O2974" s="11"/>
      <c r="P2974" s="11"/>
      <c r="Q2974" s="11"/>
      <c r="R2974" s="11"/>
      <c r="S2974" s="11"/>
    </row>
    <row r="2975" spans="1:19" s="9" customFormat="1" x14ac:dyDescent="0.25">
      <c r="A2975" s="10"/>
      <c r="B2975" s="11"/>
      <c r="C2975" s="11"/>
      <c r="D2975" s="11"/>
      <c r="E2975" s="11"/>
      <c r="F2975" s="11"/>
      <c r="G2975" s="11"/>
      <c r="H2975" s="11"/>
      <c r="I2975" s="11"/>
      <c r="J2975" s="11"/>
      <c r="K2975" s="11"/>
      <c r="L2975" s="11"/>
      <c r="M2975" s="11"/>
      <c r="N2975" s="11"/>
      <c r="O2975" s="11"/>
      <c r="P2975" s="11"/>
      <c r="Q2975" s="11"/>
      <c r="R2975" s="11"/>
      <c r="S2975" s="11"/>
    </row>
    <row r="2976" spans="1:19" s="9" customFormat="1" x14ac:dyDescent="0.25">
      <c r="A2976" s="10"/>
      <c r="B2976" s="11"/>
      <c r="C2976" s="11"/>
      <c r="D2976" s="11"/>
      <c r="E2976" s="11"/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  <c r="Q2976" s="11"/>
      <c r="R2976" s="11"/>
      <c r="S2976" s="11"/>
    </row>
    <row r="2977" spans="1:19" s="9" customFormat="1" x14ac:dyDescent="0.25">
      <c r="A2977" s="10"/>
      <c r="B2977" s="11"/>
      <c r="C2977" s="11"/>
      <c r="D2977" s="11"/>
      <c r="E2977" s="11"/>
      <c r="F2977" s="11"/>
      <c r="G2977" s="11"/>
      <c r="H2977" s="11"/>
      <c r="I2977" s="11"/>
      <c r="J2977" s="11"/>
      <c r="K2977" s="11"/>
      <c r="L2977" s="11"/>
      <c r="M2977" s="11"/>
      <c r="N2977" s="11"/>
      <c r="O2977" s="11"/>
      <c r="P2977" s="11"/>
      <c r="Q2977" s="11"/>
      <c r="R2977" s="11"/>
      <c r="S2977" s="11"/>
    </row>
    <row r="2978" spans="1:19" s="9" customFormat="1" x14ac:dyDescent="0.25">
      <c r="A2978" s="10"/>
      <c r="B2978" s="11"/>
      <c r="C2978" s="11"/>
      <c r="D2978" s="11"/>
      <c r="E2978" s="11"/>
      <c r="F2978" s="11"/>
      <c r="G2978" s="11"/>
      <c r="H2978" s="11"/>
      <c r="I2978" s="11"/>
      <c r="J2978" s="11"/>
      <c r="K2978" s="11"/>
      <c r="L2978" s="11"/>
      <c r="M2978" s="11"/>
      <c r="N2978" s="11"/>
      <c r="O2978" s="11"/>
      <c r="P2978" s="11"/>
      <c r="Q2978" s="11"/>
      <c r="R2978" s="11"/>
      <c r="S2978" s="11"/>
    </row>
    <row r="2979" spans="1:19" s="9" customFormat="1" x14ac:dyDescent="0.25">
      <c r="A2979" s="10"/>
      <c r="B2979" s="11"/>
      <c r="C2979" s="11"/>
      <c r="D2979" s="11"/>
      <c r="E2979" s="11"/>
      <c r="F2979" s="11"/>
      <c r="G2979" s="11"/>
      <c r="H2979" s="11"/>
      <c r="I2979" s="11"/>
      <c r="J2979" s="11"/>
      <c r="K2979" s="11"/>
      <c r="L2979" s="11"/>
      <c r="M2979" s="11"/>
      <c r="N2979" s="11"/>
      <c r="O2979" s="11"/>
      <c r="P2979" s="11"/>
      <c r="Q2979" s="11"/>
      <c r="R2979" s="11"/>
      <c r="S2979" s="11"/>
    </row>
    <row r="2980" spans="1:19" s="9" customFormat="1" x14ac:dyDescent="0.25">
      <c r="A2980" s="10"/>
      <c r="B2980" s="11"/>
      <c r="C2980" s="11"/>
      <c r="D2980" s="11"/>
      <c r="E2980" s="11"/>
      <c r="F2980" s="11"/>
      <c r="G2980" s="11"/>
      <c r="H2980" s="11"/>
      <c r="I2980" s="11"/>
      <c r="J2980" s="11"/>
      <c r="K2980" s="11"/>
      <c r="L2980" s="11"/>
      <c r="M2980" s="11"/>
      <c r="N2980" s="11"/>
      <c r="O2980" s="11"/>
      <c r="P2980" s="11"/>
      <c r="Q2980" s="11"/>
      <c r="R2980" s="11"/>
      <c r="S2980" s="11"/>
    </row>
    <row r="2981" spans="1:19" s="9" customFormat="1" x14ac:dyDescent="0.25">
      <c r="A2981" s="10"/>
      <c r="B2981" s="11"/>
      <c r="C2981" s="11"/>
      <c r="D2981" s="11"/>
      <c r="E2981" s="11"/>
      <c r="F2981" s="11"/>
      <c r="G2981" s="11"/>
      <c r="H2981" s="11"/>
      <c r="I2981" s="11"/>
      <c r="J2981" s="11"/>
      <c r="K2981" s="11"/>
      <c r="L2981" s="11"/>
      <c r="M2981" s="11"/>
      <c r="N2981" s="11"/>
      <c r="O2981" s="11"/>
      <c r="P2981" s="11"/>
      <c r="Q2981" s="11"/>
      <c r="R2981" s="11"/>
      <c r="S2981" s="11"/>
    </row>
    <row r="2982" spans="1:19" s="9" customFormat="1" x14ac:dyDescent="0.25">
      <c r="A2982" s="10"/>
      <c r="B2982" s="11"/>
      <c r="C2982" s="11"/>
      <c r="D2982" s="11"/>
      <c r="E2982" s="11"/>
      <c r="F2982" s="11"/>
      <c r="G2982" s="11"/>
      <c r="H2982" s="11"/>
      <c r="I2982" s="11"/>
      <c r="J2982" s="11"/>
      <c r="K2982" s="11"/>
      <c r="L2982" s="11"/>
      <c r="M2982" s="11"/>
      <c r="N2982" s="11"/>
      <c r="O2982" s="11"/>
      <c r="P2982" s="11"/>
      <c r="Q2982" s="11"/>
      <c r="R2982" s="11"/>
      <c r="S2982" s="11"/>
    </row>
    <row r="2983" spans="1:19" s="9" customFormat="1" x14ac:dyDescent="0.25">
      <c r="A2983" s="10"/>
      <c r="B2983" s="11"/>
      <c r="C2983" s="11"/>
      <c r="D2983" s="11"/>
      <c r="E2983" s="11"/>
      <c r="F2983" s="11"/>
      <c r="G2983" s="11"/>
      <c r="H2983" s="11"/>
      <c r="I2983" s="11"/>
      <c r="J2983" s="11"/>
      <c r="K2983" s="11"/>
      <c r="L2983" s="11"/>
      <c r="M2983" s="11"/>
      <c r="N2983" s="11"/>
      <c r="O2983" s="11"/>
      <c r="P2983" s="11"/>
      <c r="Q2983" s="11"/>
      <c r="R2983" s="11"/>
      <c r="S2983" s="11"/>
    </row>
    <row r="2984" spans="1:19" s="9" customFormat="1" x14ac:dyDescent="0.25">
      <c r="A2984" s="10"/>
      <c r="B2984" s="11"/>
      <c r="C2984" s="11"/>
      <c r="D2984" s="11"/>
      <c r="E2984" s="11"/>
      <c r="F2984" s="11"/>
      <c r="G2984" s="11"/>
      <c r="H2984" s="11"/>
      <c r="I2984" s="11"/>
      <c r="J2984" s="11"/>
      <c r="K2984" s="11"/>
      <c r="L2984" s="11"/>
      <c r="M2984" s="11"/>
      <c r="N2984" s="11"/>
      <c r="O2984" s="11"/>
      <c r="P2984" s="11"/>
      <c r="Q2984" s="11"/>
      <c r="R2984" s="11"/>
      <c r="S2984" s="11"/>
    </row>
    <row r="2985" spans="1:19" s="9" customFormat="1" x14ac:dyDescent="0.25">
      <c r="A2985" s="10"/>
      <c r="B2985" s="11"/>
      <c r="C2985" s="11"/>
      <c r="D2985" s="11"/>
      <c r="E2985" s="11"/>
      <c r="F2985" s="11"/>
      <c r="G2985" s="11"/>
      <c r="H2985" s="11"/>
      <c r="I2985" s="11"/>
      <c r="J2985" s="11"/>
      <c r="K2985" s="11"/>
      <c r="L2985" s="11"/>
      <c r="M2985" s="11"/>
      <c r="N2985" s="11"/>
      <c r="O2985" s="11"/>
      <c r="P2985" s="11"/>
      <c r="Q2985" s="11"/>
      <c r="R2985" s="11"/>
      <c r="S2985" s="11"/>
    </row>
    <row r="2986" spans="1:19" s="9" customFormat="1" x14ac:dyDescent="0.25">
      <c r="A2986" s="10"/>
      <c r="B2986" s="11"/>
      <c r="C2986" s="11"/>
      <c r="D2986" s="11"/>
      <c r="E2986" s="11"/>
      <c r="F2986" s="11"/>
      <c r="G2986" s="11"/>
      <c r="H2986" s="11"/>
      <c r="I2986" s="11"/>
      <c r="J2986" s="11"/>
      <c r="K2986" s="11"/>
      <c r="L2986" s="11"/>
      <c r="M2986" s="11"/>
      <c r="N2986" s="11"/>
      <c r="O2986" s="11"/>
      <c r="P2986" s="11"/>
      <c r="Q2986" s="11"/>
      <c r="R2986" s="11"/>
      <c r="S2986" s="11"/>
    </row>
    <row r="2987" spans="1:19" s="9" customFormat="1" x14ac:dyDescent="0.25">
      <c r="A2987" s="10"/>
      <c r="B2987" s="11"/>
      <c r="C2987" s="11"/>
      <c r="D2987" s="11"/>
      <c r="E2987" s="11"/>
      <c r="F2987" s="11"/>
      <c r="G2987" s="11"/>
      <c r="H2987" s="11"/>
      <c r="I2987" s="11"/>
      <c r="J2987" s="11"/>
      <c r="K2987" s="11"/>
      <c r="L2987" s="11"/>
      <c r="M2987" s="11"/>
      <c r="N2987" s="11"/>
      <c r="O2987" s="11"/>
      <c r="P2987" s="11"/>
      <c r="Q2987" s="11"/>
      <c r="R2987" s="11"/>
      <c r="S2987" s="11"/>
    </row>
    <row r="2988" spans="1:19" s="9" customFormat="1" x14ac:dyDescent="0.25">
      <c r="A2988" s="10"/>
      <c r="B2988" s="11"/>
      <c r="C2988" s="11"/>
      <c r="D2988" s="11"/>
      <c r="E2988" s="11"/>
      <c r="F2988" s="11"/>
      <c r="G2988" s="11"/>
      <c r="H2988" s="11"/>
      <c r="I2988" s="11"/>
      <c r="J2988" s="11"/>
      <c r="K2988" s="11"/>
      <c r="L2988" s="11"/>
      <c r="M2988" s="11"/>
      <c r="N2988" s="11"/>
      <c r="O2988" s="11"/>
      <c r="P2988" s="11"/>
      <c r="Q2988" s="11"/>
      <c r="R2988" s="11"/>
      <c r="S2988" s="11"/>
    </row>
    <row r="2989" spans="1:19" s="9" customFormat="1" x14ac:dyDescent="0.25">
      <c r="A2989" s="10"/>
      <c r="B2989" s="11"/>
      <c r="C2989" s="11"/>
      <c r="D2989" s="11"/>
      <c r="E2989" s="11"/>
      <c r="F2989" s="11"/>
      <c r="G2989" s="11"/>
      <c r="H2989" s="11"/>
      <c r="I2989" s="11"/>
      <c r="J2989" s="11"/>
      <c r="K2989" s="11"/>
      <c r="L2989" s="11"/>
      <c r="M2989" s="11"/>
      <c r="N2989" s="11"/>
      <c r="O2989" s="11"/>
      <c r="P2989" s="11"/>
      <c r="Q2989" s="11"/>
      <c r="R2989" s="11"/>
      <c r="S2989" s="11"/>
    </row>
    <row r="2990" spans="1:19" s="9" customFormat="1" x14ac:dyDescent="0.25">
      <c r="A2990" s="10"/>
      <c r="B2990" s="11"/>
      <c r="C2990" s="11"/>
      <c r="D2990" s="11"/>
      <c r="E2990" s="11"/>
      <c r="F2990" s="11"/>
      <c r="G2990" s="11"/>
      <c r="H2990" s="11"/>
      <c r="I2990" s="11"/>
      <c r="J2990" s="11"/>
      <c r="K2990" s="11"/>
      <c r="L2990" s="11"/>
      <c r="M2990" s="11"/>
      <c r="N2990" s="11"/>
      <c r="O2990" s="11"/>
      <c r="P2990" s="11"/>
      <c r="Q2990" s="11"/>
      <c r="R2990" s="11"/>
      <c r="S2990" s="11"/>
    </row>
    <row r="2991" spans="1:19" s="9" customFormat="1" x14ac:dyDescent="0.25">
      <c r="A2991" s="10"/>
      <c r="B2991" s="11"/>
      <c r="C2991" s="11"/>
      <c r="D2991" s="11"/>
      <c r="E2991" s="11"/>
      <c r="F2991" s="11"/>
      <c r="G2991" s="11"/>
      <c r="H2991" s="11"/>
      <c r="I2991" s="11"/>
      <c r="J2991" s="11"/>
      <c r="K2991" s="11"/>
      <c r="L2991" s="11"/>
      <c r="M2991" s="11"/>
      <c r="N2991" s="11"/>
      <c r="O2991" s="11"/>
      <c r="P2991" s="11"/>
      <c r="Q2991" s="11"/>
      <c r="R2991" s="11"/>
      <c r="S2991" s="11"/>
    </row>
    <row r="2992" spans="1:19" s="9" customFormat="1" x14ac:dyDescent="0.25">
      <c r="A2992" s="10"/>
      <c r="B2992" s="11"/>
      <c r="C2992" s="11"/>
      <c r="D2992" s="11"/>
      <c r="E2992" s="11"/>
      <c r="F2992" s="11"/>
      <c r="G2992" s="11"/>
      <c r="H2992" s="11"/>
      <c r="I2992" s="11"/>
      <c r="J2992" s="11"/>
      <c r="K2992" s="11"/>
      <c r="L2992" s="11"/>
      <c r="M2992" s="11"/>
      <c r="N2992" s="11"/>
      <c r="O2992" s="11"/>
      <c r="P2992" s="11"/>
      <c r="Q2992" s="11"/>
      <c r="R2992" s="11"/>
      <c r="S2992" s="11"/>
    </row>
    <row r="2993" spans="1:19" s="9" customFormat="1" x14ac:dyDescent="0.25">
      <c r="A2993" s="10"/>
      <c r="B2993" s="11"/>
      <c r="C2993" s="11"/>
      <c r="D2993" s="11"/>
      <c r="E2993" s="11"/>
      <c r="F2993" s="11"/>
      <c r="G2993" s="11"/>
      <c r="H2993" s="11"/>
      <c r="I2993" s="11"/>
      <c r="J2993" s="11"/>
      <c r="K2993" s="11"/>
      <c r="L2993" s="11"/>
      <c r="M2993" s="11"/>
      <c r="N2993" s="11"/>
      <c r="O2993" s="11"/>
      <c r="P2993" s="11"/>
      <c r="Q2993" s="11"/>
      <c r="R2993" s="11"/>
      <c r="S2993" s="11"/>
    </row>
    <row r="2994" spans="1:19" s="9" customFormat="1" x14ac:dyDescent="0.25">
      <c r="A2994" s="10"/>
      <c r="B2994" s="11"/>
      <c r="C2994" s="11"/>
      <c r="D2994" s="11"/>
      <c r="E2994" s="11"/>
      <c r="F2994" s="11"/>
      <c r="G2994" s="11"/>
      <c r="H2994" s="11"/>
      <c r="I2994" s="11"/>
      <c r="J2994" s="11"/>
      <c r="K2994" s="11"/>
      <c r="L2994" s="11"/>
      <c r="M2994" s="11"/>
      <c r="N2994" s="11"/>
      <c r="O2994" s="11"/>
      <c r="P2994" s="11"/>
      <c r="Q2994" s="11"/>
      <c r="R2994" s="11"/>
      <c r="S2994" s="11"/>
    </row>
    <row r="2995" spans="1:19" s="9" customFormat="1" x14ac:dyDescent="0.25">
      <c r="A2995" s="10"/>
      <c r="B2995" s="11"/>
      <c r="C2995" s="11"/>
      <c r="D2995" s="11"/>
      <c r="E2995" s="11"/>
      <c r="F2995" s="11"/>
      <c r="G2995" s="11"/>
      <c r="H2995" s="11"/>
      <c r="I2995" s="11"/>
      <c r="J2995" s="11"/>
      <c r="K2995" s="11"/>
      <c r="L2995" s="11"/>
      <c r="M2995" s="11"/>
      <c r="N2995" s="11"/>
      <c r="O2995" s="11"/>
      <c r="P2995" s="11"/>
      <c r="Q2995" s="11"/>
      <c r="R2995" s="11"/>
      <c r="S2995" s="11"/>
    </row>
    <row r="2996" spans="1:19" s="9" customFormat="1" x14ac:dyDescent="0.25">
      <c r="A2996" s="10"/>
      <c r="B2996" s="11"/>
      <c r="C2996" s="11"/>
      <c r="D2996" s="11"/>
      <c r="E2996" s="11"/>
      <c r="F2996" s="11"/>
      <c r="G2996" s="11"/>
      <c r="H2996" s="11"/>
      <c r="I2996" s="11"/>
      <c r="J2996" s="11"/>
      <c r="K2996" s="11"/>
      <c r="L2996" s="11"/>
      <c r="M2996" s="11"/>
      <c r="N2996" s="11"/>
      <c r="O2996" s="11"/>
      <c r="P2996" s="11"/>
      <c r="Q2996" s="11"/>
      <c r="R2996" s="11"/>
      <c r="S2996" s="11"/>
    </row>
    <row r="2997" spans="1:19" s="9" customFormat="1" x14ac:dyDescent="0.25">
      <c r="A2997" s="10"/>
      <c r="B2997" s="11"/>
      <c r="C2997" s="11"/>
      <c r="D2997" s="11"/>
      <c r="E2997" s="11"/>
      <c r="F2997" s="11"/>
      <c r="G2997" s="11"/>
      <c r="H2997" s="11"/>
      <c r="I2997" s="11"/>
      <c r="J2997" s="11"/>
      <c r="K2997" s="11"/>
      <c r="L2997" s="11"/>
      <c r="M2997" s="11"/>
      <c r="N2997" s="11"/>
      <c r="O2997" s="11"/>
      <c r="P2997" s="11"/>
      <c r="Q2997" s="11"/>
      <c r="R2997" s="11"/>
      <c r="S2997" s="11"/>
    </row>
    <row r="2998" spans="1:19" s="9" customFormat="1" x14ac:dyDescent="0.25">
      <c r="A2998" s="10"/>
      <c r="B2998" s="11"/>
      <c r="C2998" s="11"/>
      <c r="D2998" s="11"/>
      <c r="E2998" s="11"/>
      <c r="F2998" s="11"/>
      <c r="G2998" s="11"/>
      <c r="H2998" s="11"/>
      <c r="I2998" s="11"/>
      <c r="J2998" s="11"/>
      <c r="K2998" s="11"/>
      <c r="L2998" s="11"/>
      <c r="M2998" s="11"/>
      <c r="N2998" s="11"/>
      <c r="O2998" s="11"/>
      <c r="P2998" s="11"/>
      <c r="Q2998" s="11"/>
      <c r="R2998" s="11"/>
      <c r="S2998" s="11"/>
    </row>
    <row r="2999" spans="1:19" s="9" customFormat="1" x14ac:dyDescent="0.25">
      <c r="A2999" s="10"/>
      <c r="B2999" s="11"/>
      <c r="C2999" s="11"/>
      <c r="D2999" s="11"/>
      <c r="E2999" s="11"/>
      <c r="F2999" s="11"/>
      <c r="G2999" s="11"/>
      <c r="H2999" s="11"/>
      <c r="I2999" s="11"/>
      <c r="J2999" s="11"/>
      <c r="K2999" s="11"/>
      <c r="L2999" s="11"/>
      <c r="M2999" s="11"/>
      <c r="N2999" s="11"/>
      <c r="O2999" s="11"/>
      <c r="P2999" s="11"/>
      <c r="Q2999" s="11"/>
      <c r="R2999" s="11"/>
      <c r="S2999" s="11"/>
    </row>
    <row r="3000" spans="1:19" s="9" customFormat="1" x14ac:dyDescent="0.25">
      <c r="A3000" s="10"/>
      <c r="B3000" s="11"/>
      <c r="C3000" s="11"/>
      <c r="D3000" s="11"/>
      <c r="E3000" s="11"/>
      <c r="F3000" s="11"/>
      <c r="G3000" s="11"/>
      <c r="H3000" s="11"/>
      <c r="I3000" s="11"/>
      <c r="J3000" s="11"/>
      <c r="K3000" s="11"/>
      <c r="L3000" s="11"/>
      <c r="M3000" s="11"/>
      <c r="N3000" s="11"/>
      <c r="O3000" s="11"/>
      <c r="P3000" s="11"/>
      <c r="Q3000" s="11"/>
      <c r="R3000" s="11"/>
      <c r="S3000" s="11"/>
    </row>
    <row r="3001" spans="1:19" s="9" customFormat="1" x14ac:dyDescent="0.25">
      <c r="A3001" s="10"/>
      <c r="B3001" s="11"/>
      <c r="C3001" s="11"/>
      <c r="D3001" s="11"/>
      <c r="E3001" s="11"/>
      <c r="F3001" s="11"/>
      <c r="G3001" s="11"/>
      <c r="H3001" s="11"/>
      <c r="I3001" s="11"/>
      <c r="J3001" s="11"/>
      <c r="K3001" s="11"/>
      <c r="L3001" s="11"/>
      <c r="M3001" s="11"/>
      <c r="N3001" s="11"/>
      <c r="O3001" s="11"/>
      <c r="P3001" s="11"/>
      <c r="Q3001" s="11"/>
      <c r="R3001" s="11"/>
      <c r="S3001" s="11"/>
    </row>
    <row r="3002" spans="1:19" s="9" customFormat="1" x14ac:dyDescent="0.25">
      <c r="A3002" s="10"/>
      <c r="B3002" s="11"/>
      <c r="C3002" s="11"/>
      <c r="D3002" s="11"/>
      <c r="E3002" s="11"/>
      <c r="F3002" s="11"/>
      <c r="G3002" s="11"/>
      <c r="H3002" s="11"/>
      <c r="I3002" s="11"/>
      <c r="J3002" s="11"/>
      <c r="K3002" s="11"/>
      <c r="L3002" s="11"/>
      <c r="M3002" s="11"/>
      <c r="N3002" s="11"/>
      <c r="O3002" s="11"/>
      <c r="P3002" s="11"/>
      <c r="Q3002" s="11"/>
      <c r="R3002" s="11"/>
      <c r="S3002" s="11"/>
    </row>
    <row r="3003" spans="1:19" s="9" customFormat="1" x14ac:dyDescent="0.25">
      <c r="A3003" s="10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  <c r="O3003" s="11"/>
      <c r="P3003" s="11"/>
      <c r="Q3003" s="11"/>
      <c r="R3003" s="11"/>
      <c r="S3003" s="11"/>
    </row>
    <row r="3004" spans="1:19" s="9" customFormat="1" x14ac:dyDescent="0.25">
      <c r="A3004" s="10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  <c r="O3004" s="11"/>
      <c r="P3004" s="11"/>
      <c r="Q3004" s="11"/>
      <c r="R3004" s="11"/>
      <c r="S3004" s="11"/>
    </row>
    <row r="3005" spans="1:19" s="9" customFormat="1" x14ac:dyDescent="0.25">
      <c r="A3005" s="10"/>
      <c r="B3005" s="11"/>
      <c r="C3005" s="11"/>
      <c r="D3005" s="11"/>
      <c r="E3005" s="11"/>
      <c r="F3005" s="11"/>
      <c r="G3005" s="11"/>
      <c r="H3005" s="11"/>
      <c r="I3005" s="11"/>
      <c r="J3005" s="11"/>
      <c r="K3005" s="11"/>
      <c r="L3005" s="11"/>
      <c r="M3005" s="11"/>
      <c r="N3005" s="11"/>
      <c r="O3005" s="11"/>
      <c r="P3005" s="11"/>
      <c r="Q3005" s="11"/>
      <c r="R3005" s="11"/>
      <c r="S3005" s="11"/>
    </row>
    <row r="3006" spans="1:19" s="9" customFormat="1" x14ac:dyDescent="0.25">
      <c r="A3006" s="10"/>
      <c r="B3006" s="11"/>
      <c r="C3006" s="11"/>
      <c r="D3006" s="11"/>
      <c r="E3006" s="11"/>
      <c r="F3006" s="11"/>
      <c r="G3006" s="11"/>
      <c r="H3006" s="11"/>
      <c r="I3006" s="11"/>
      <c r="J3006" s="11"/>
      <c r="K3006" s="11"/>
      <c r="L3006" s="11"/>
      <c r="M3006" s="11"/>
      <c r="N3006" s="11"/>
      <c r="O3006" s="11"/>
      <c r="P3006" s="11"/>
      <c r="Q3006" s="11"/>
      <c r="R3006" s="11"/>
      <c r="S3006" s="11"/>
    </row>
    <row r="3007" spans="1:19" s="9" customFormat="1" x14ac:dyDescent="0.25">
      <c r="A3007" s="10"/>
      <c r="B3007" s="11"/>
      <c r="C3007" s="11"/>
      <c r="D3007" s="11"/>
      <c r="E3007" s="11"/>
      <c r="F3007" s="11"/>
      <c r="G3007" s="11"/>
      <c r="H3007" s="11"/>
      <c r="I3007" s="11"/>
      <c r="J3007" s="11"/>
      <c r="K3007" s="11"/>
      <c r="L3007" s="11"/>
      <c r="M3007" s="11"/>
      <c r="N3007" s="11"/>
      <c r="O3007" s="11"/>
      <c r="P3007" s="11"/>
      <c r="Q3007" s="11"/>
      <c r="R3007" s="11"/>
      <c r="S3007" s="11"/>
    </row>
    <row r="3008" spans="1:19" s="9" customFormat="1" x14ac:dyDescent="0.25">
      <c r="A3008" s="10"/>
      <c r="B3008" s="11"/>
      <c r="C3008" s="11"/>
      <c r="D3008" s="11"/>
      <c r="E3008" s="11"/>
      <c r="F3008" s="11"/>
      <c r="G3008" s="11"/>
      <c r="H3008" s="11"/>
      <c r="I3008" s="11"/>
      <c r="J3008" s="11"/>
      <c r="K3008" s="11"/>
      <c r="L3008" s="11"/>
      <c r="M3008" s="11"/>
      <c r="N3008" s="11"/>
      <c r="O3008" s="11"/>
      <c r="P3008" s="11"/>
      <c r="Q3008" s="11"/>
      <c r="R3008" s="11"/>
      <c r="S3008" s="11"/>
    </row>
    <row r="3009" spans="1:19" s="9" customFormat="1" x14ac:dyDescent="0.25">
      <c r="A3009" s="10"/>
      <c r="B3009" s="11"/>
      <c r="C3009" s="11"/>
      <c r="D3009" s="11"/>
      <c r="E3009" s="11"/>
      <c r="F3009" s="11"/>
      <c r="G3009" s="11"/>
      <c r="H3009" s="11"/>
      <c r="I3009" s="11"/>
      <c r="J3009" s="11"/>
      <c r="K3009" s="11"/>
      <c r="L3009" s="11"/>
      <c r="M3009" s="11"/>
      <c r="N3009" s="11"/>
      <c r="O3009" s="11"/>
      <c r="P3009" s="11"/>
      <c r="Q3009" s="11"/>
      <c r="R3009" s="11"/>
      <c r="S3009" s="11"/>
    </row>
    <row r="3010" spans="1:19" s="9" customFormat="1" x14ac:dyDescent="0.25">
      <c r="A3010" s="10"/>
      <c r="B3010" s="11"/>
      <c r="C3010" s="11"/>
      <c r="D3010" s="11"/>
      <c r="E3010" s="11"/>
      <c r="F3010" s="11"/>
      <c r="G3010" s="11"/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/>
      <c r="S3010" s="11"/>
    </row>
    <row r="3011" spans="1:19" s="9" customFormat="1" x14ac:dyDescent="0.25">
      <c r="A3011" s="10"/>
      <c r="B3011" s="11"/>
      <c r="C3011" s="11"/>
      <c r="D3011" s="11"/>
      <c r="E3011" s="11"/>
      <c r="F3011" s="11"/>
      <c r="G3011" s="11"/>
      <c r="H3011" s="11"/>
      <c r="I3011" s="11"/>
      <c r="J3011" s="11"/>
      <c r="K3011" s="11"/>
      <c r="L3011" s="11"/>
      <c r="M3011" s="11"/>
      <c r="N3011" s="11"/>
      <c r="O3011" s="11"/>
      <c r="P3011" s="11"/>
      <c r="Q3011" s="11"/>
      <c r="R3011" s="11"/>
      <c r="S3011" s="11"/>
    </row>
    <row r="3012" spans="1:19" s="9" customFormat="1" x14ac:dyDescent="0.25">
      <c r="A3012" s="10"/>
      <c r="B3012" s="11"/>
      <c r="C3012" s="11"/>
      <c r="D3012" s="11"/>
      <c r="E3012" s="11"/>
      <c r="F3012" s="11"/>
      <c r="G3012" s="11"/>
      <c r="H3012" s="11"/>
      <c r="I3012" s="11"/>
      <c r="J3012" s="11"/>
      <c r="K3012" s="11"/>
      <c r="L3012" s="11"/>
      <c r="M3012" s="11"/>
      <c r="N3012" s="11"/>
      <c r="O3012" s="11"/>
      <c r="P3012" s="11"/>
      <c r="Q3012" s="11"/>
      <c r="R3012" s="11"/>
      <c r="S3012" s="11"/>
    </row>
    <row r="3013" spans="1:19" s="9" customFormat="1" x14ac:dyDescent="0.25">
      <c r="A3013" s="10"/>
      <c r="B3013" s="11"/>
      <c r="C3013" s="11"/>
      <c r="D3013" s="11"/>
      <c r="E3013" s="11"/>
      <c r="F3013" s="11"/>
      <c r="G3013" s="11"/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  <c r="R3013" s="11"/>
      <c r="S3013" s="11"/>
    </row>
    <row r="3014" spans="1:19" s="9" customFormat="1" x14ac:dyDescent="0.25">
      <c r="A3014" s="10"/>
      <c r="B3014" s="11"/>
      <c r="C3014" s="11"/>
      <c r="D3014" s="11"/>
      <c r="E3014" s="11"/>
      <c r="F3014" s="11"/>
      <c r="G3014" s="11"/>
      <c r="H3014" s="11"/>
      <c r="I3014" s="11"/>
      <c r="J3014" s="11"/>
      <c r="K3014" s="11"/>
      <c r="L3014" s="11"/>
      <c r="M3014" s="11"/>
      <c r="N3014" s="11"/>
      <c r="O3014" s="11"/>
      <c r="P3014" s="11"/>
      <c r="Q3014" s="11"/>
      <c r="R3014" s="11"/>
      <c r="S3014" s="11"/>
    </row>
    <row r="3015" spans="1:19" s="9" customFormat="1" x14ac:dyDescent="0.25">
      <c r="A3015" s="10"/>
      <c r="B3015" s="11"/>
      <c r="C3015" s="11"/>
      <c r="D3015" s="11"/>
      <c r="E3015" s="11"/>
      <c r="F3015" s="11"/>
      <c r="G3015" s="11"/>
      <c r="H3015" s="11"/>
      <c r="I3015" s="11"/>
      <c r="J3015" s="11"/>
      <c r="K3015" s="11"/>
      <c r="L3015" s="11"/>
      <c r="M3015" s="11"/>
      <c r="N3015" s="11"/>
      <c r="O3015" s="11"/>
      <c r="P3015" s="11"/>
      <c r="Q3015" s="11"/>
      <c r="R3015" s="11"/>
      <c r="S3015" s="11"/>
    </row>
    <row r="3016" spans="1:19" s="9" customFormat="1" x14ac:dyDescent="0.25">
      <c r="A3016" s="10"/>
      <c r="B3016" s="11"/>
      <c r="C3016" s="11"/>
      <c r="D3016" s="11"/>
      <c r="E3016" s="11"/>
      <c r="F3016" s="11"/>
      <c r="G3016" s="11"/>
      <c r="H3016" s="11"/>
      <c r="I3016" s="11"/>
      <c r="J3016" s="11"/>
      <c r="K3016" s="11"/>
      <c r="L3016" s="11"/>
      <c r="M3016" s="11"/>
      <c r="N3016" s="11"/>
      <c r="O3016" s="11"/>
      <c r="P3016" s="11"/>
      <c r="Q3016" s="11"/>
      <c r="R3016" s="11"/>
      <c r="S3016" s="11"/>
    </row>
    <row r="3017" spans="1:19" s="9" customFormat="1" x14ac:dyDescent="0.25">
      <c r="A3017" s="10"/>
      <c r="B3017" s="11"/>
      <c r="C3017" s="11"/>
      <c r="D3017" s="11"/>
      <c r="E3017" s="11"/>
      <c r="F3017" s="11"/>
      <c r="G3017" s="11"/>
      <c r="H3017" s="11"/>
      <c r="I3017" s="11"/>
      <c r="J3017" s="11"/>
      <c r="K3017" s="11"/>
      <c r="L3017" s="11"/>
      <c r="M3017" s="11"/>
      <c r="N3017" s="11"/>
      <c r="O3017" s="11"/>
      <c r="P3017" s="11"/>
      <c r="Q3017" s="11"/>
      <c r="R3017" s="11"/>
      <c r="S3017" s="11"/>
    </row>
    <row r="3018" spans="1:19" s="9" customFormat="1" x14ac:dyDescent="0.25">
      <c r="A3018" s="10"/>
      <c r="B3018" s="11"/>
      <c r="C3018" s="11"/>
      <c r="D3018" s="11"/>
      <c r="E3018" s="11"/>
      <c r="F3018" s="11"/>
      <c r="G3018" s="11"/>
      <c r="H3018" s="11"/>
      <c r="I3018" s="11"/>
      <c r="J3018" s="11"/>
      <c r="K3018" s="11"/>
      <c r="L3018" s="11"/>
      <c r="M3018" s="11"/>
      <c r="N3018" s="11"/>
      <c r="O3018" s="11"/>
      <c r="P3018" s="11"/>
      <c r="Q3018" s="11"/>
      <c r="R3018" s="11"/>
      <c r="S3018" s="11"/>
    </row>
    <row r="3019" spans="1:19" s="9" customFormat="1" x14ac:dyDescent="0.25">
      <c r="A3019" s="10"/>
      <c r="B3019" s="11"/>
      <c r="C3019" s="11"/>
      <c r="D3019" s="11"/>
      <c r="E3019" s="11"/>
      <c r="F3019" s="11"/>
      <c r="G3019" s="11"/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/>
      <c r="S3019" s="11"/>
    </row>
    <row r="3020" spans="1:19" s="9" customFormat="1" x14ac:dyDescent="0.25">
      <c r="A3020" s="10"/>
      <c r="B3020" s="11"/>
      <c r="C3020" s="11"/>
      <c r="D3020" s="11"/>
      <c r="E3020" s="11"/>
      <c r="F3020" s="11"/>
      <c r="G3020" s="11"/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  <c r="S3020" s="11"/>
    </row>
    <row r="3021" spans="1:19" s="9" customFormat="1" x14ac:dyDescent="0.25">
      <c r="A3021" s="10"/>
      <c r="B3021" s="11"/>
      <c r="C3021" s="11"/>
      <c r="D3021" s="11"/>
      <c r="E3021" s="11"/>
      <c r="F3021" s="11"/>
      <c r="G3021" s="11"/>
      <c r="H3021" s="11"/>
      <c r="I3021" s="11"/>
      <c r="J3021" s="11"/>
      <c r="K3021" s="11"/>
      <c r="L3021" s="11"/>
      <c r="M3021" s="11"/>
      <c r="N3021" s="11"/>
      <c r="O3021" s="11"/>
      <c r="P3021" s="11"/>
      <c r="Q3021" s="11"/>
      <c r="R3021" s="11"/>
      <c r="S3021" s="11"/>
    </row>
    <row r="3022" spans="1:19" s="9" customFormat="1" x14ac:dyDescent="0.25">
      <c r="A3022" s="10"/>
      <c r="B3022" s="11"/>
      <c r="C3022" s="11"/>
      <c r="D3022" s="11"/>
      <c r="E3022" s="11"/>
      <c r="F3022" s="11"/>
      <c r="G3022" s="11"/>
      <c r="H3022" s="11"/>
      <c r="I3022" s="11"/>
      <c r="J3022" s="11"/>
      <c r="K3022" s="11"/>
      <c r="L3022" s="11"/>
      <c r="M3022" s="11"/>
      <c r="N3022" s="11"/>
      <c r="O3022" s="11"/>
      <c r="P3022" s="11"/>
      <c r="Q3022" s="11"/>
      <c r="R3022" s="11"/>
      <c r="S3022" s="11"/>
    </row>
    <row r="3023" spans="1:19" s="9" customFormat="1" x14ac:dyDescent="0.25">
      <c r="A3023" s="10"/>
      <c r="B3023" s="11"/>
      <c r="C3023" s="11"/>
      <c r="D3023" s="11"/>
      <c r="E3023" s="11"/>
      <c r="F3023" s="11"/>
      <c r="G3023" s="11"/>
      <c r="H3023" s="11"/>
      <c r="I3023" s="11"/>
      <c r="J3023" s="11"/>
      <c r="K3023" s="11"/>
      <c r="L3023" s="11"/>
      <c r="M3023" s="11"/>
      <c r="N3023" s="11"/>
      <c r="O3023" s="11"/>
      <c r="P3023" s="11"/>
      <c r="Q3023" s="11"/>
      <c r="R3023" s="11"/>
      <c r="S3023" s="11"/>
    </row>
    <row r="3024" spans="1:19" s="9" customFormat="1" x14ac:dyDescent="0.25">
      <c r="A3024" s="10"/>
      <c r="B3024" s="11"/>
      <c r="C3024" s="11"/>
      <c r="D3024" s="11"/>
      <c r="E3024" s="11"/>
      <c r="F3024" s="11"/>
      <c r="G3024" s="11"/>
      <c r="H3024" s="11"/>
      <c r="I3024" s="11"/>
      <c r="J3024" s="11"/>
      <c r="K3024" s="11"/>
      <c r="L3024" s="11"/>
      <c r="M3024" s="11"/>
      <c r="N3024" s="11"/>
      <c r="O3024" s="11"/>
      <c r="P3024" s="11"/>
      <c r="Q3024" s="11"/>
      <c r="R3024" s="11"/>
      <c r="S3024" s="11"/>
    </row>
    <row r="3025" spans="1:19" s="9" customFormat="1" x14ac:dyDescent="0.25">
      <c r="A3025" s="10"/>
      <c r="B3025" s="11"/>
      <c r="C3025" s="11"/>
      <c r="D3025" s="11"/>
      <c r="E3025" s="11"/>
      <c r="F3025" s="11"/>
      <c r="G3025" s="11"/>
      <c r="H3025" s="11"/>
      <c r="I3025" s="11"/>
      <c r="J3025" s="11"/>
      <c r="K3025" s="11"/>
      <c r="L3025" s="11"/>
      <c r="M3025" s="11"/>
      <c r="N3025" s="11"/>
      <c r="O3025" s="11"/>
      <c r="P3025" s="11"/>
      <c r="Q3025" s="11"/>
      <c r="R3025" s="11"/>
      <c r="S3025" s="11"/>
    </row>
    <row r="3026" spans="1:19" s="9" customFormat="1" x14ac:dyDescent="0.25">
      <c r="A3026" s="10"/>
      <c r="B3026" s="11"/>
      <c r="C3026" s="11"/>
      <c r="D3026" s="11"/>
      <c r="E3026" s="11"/>
      <c r="F3026" s="11"/>
      <c r="G3026" s="11"/>
      <c r="H3026" s="11"/>
      <c r="I3026" s="11"/>
      <c r="J3026" s="11"/>
      <c r="K3026" s="11"/>
      <c r="L3026" s="11"/>
      <c r="M3026" s="11"/>
      <c r="N3026" s="11"/>
      <c r="O3026" s="11"/>
      <c r="P3026" s="11"/>
      <c r="Q3026" s="11"/>
      <c r="R3026" s="11"/>
      <c r="S3026" s="11"/>
    </row>
    <row r="3027" spans="1:19" s="9" customFormat="1" x14ac:dyDescent="0.25">
      <c r="A3027" s="10"/>
      <c r="B3027" s="11"/>
      <c r="C3027" s="11"/>
      <c r="D3027" s="11"/>
      <c r="E3027" s="11"/>
      <c r="F3027" s="11"/>
      <c r="G3027" s="11"/>
      <c r="H3027" s="11"/>
      <c r="I3027" s="11"/>
      <c r="J3027" s="11"/>
      <c r="K3027" s="11"/>
      <c r="L3027" s="11"/>
      <c r="M3027" s="11"/>
      <c r="N3027" s="11"/>
      <c r="O3027" s="11"/>
      <c r="P3027" s="11"/>
      <c r="Q3027" s="11"/>
      <c r="R3027" s="11"/>
      <c r="S3027" s="11"/>
    </row>
    <row r="3028" spans="1:19" s="9" customFormat="1" x14ac:dyDescent="0.25">
      <c r="A3028" s="10"/>
      <c r="B3028" s="11"/>
      <c r="C3028" s="11"/>
      <c r="D3028" s="11"/>
      <c r="E3028" s="11"/>
      <c r="F3028" s="11"/>
      <c r="G3028" s="11"/>
      <c r="H3028" s="11"/>
      <c r="I3028" s="11"/>
      <c r="J3028" s="11"/>
      <c r="K3028" s="11"/>
      <c r="L3028" s="11"/>
      <c r="M3028" s="11"/>
      <c r="N3028" s="11"/>
      <c r="O3028" s="11"/>
      <c r="P3028" s="11"/>
      <c r="Q3028" s="11"/>
      <c r="R3028" s="11"/>
      <c r="S3028" s="11"/>
    </row>
    <row r="3029" spans="1:19" s="9" customFormat="1" x14ac:dyDescent="0.25">
      <c r="A3029" s="10"/>
      <c r="B3029" s="11"/>
      <c r="C3029" s="11"/>
      <c r="D3029" s="11"/>
      <c r="E3029" s="11"/>
      <c r="F3029" s="11"/>
      <c r="G3029" s="11"/>
      <c r="H3029" s="11"/>
      <c r="I3029" s="11"/>
      <c r="J3029" s="11"/>
      <c r="K3029" s="11"/>
      <c r="L3029" s="11"/>
      <c r="M3029" s="11"/>
      <c r="N3029" s="11"/>
      <c r="O3029" s="11"/>
      <c r="P3029" s="11"/>
      <c r="Q3029" s="11"/>
      <c r="R3029" s="11"/>
      <c r="S3029" s="11"/>
    </row>
    <row r="3030" spans="1:19" s="9" customFormat="1" x14ac:dyDescent="0.25">
      <c r="A3030" s="10"/>
      <c r="B3030" s="11"/>
      <c r="C3030" s="11"/>
      <c r="D3030" s="11"/>
      <c r="E3030" s="11"/>
      <c r="F3030" s="11"/>
      <c r="G3030" s="11"/>
      <c r="H3030" s="11"/>
      <c r="I3030" s="11"/>
      <c r="J3030" s="11"/>
      <c r="K3030" s="11"/>
      <c r="L3030" s="11"/>
      <c r="M3030" s="11"/>
      <c r="N3030" s="11"/>
      <c r="O3030" s="11"/>
      <c r="P3030" s="11"/>
      <c r="Q3030" s="11"/>
      <c r="R3030" s="11"/>
      <c r="S3030" s="11"/>
    </row>
    <row r="3031" spans="1:19" s="9" customFormat="1" x14ac:dyDescent="0.25">
      <c r="A3031" s="10"/>
      <c r="B3031" s="11"/>
      <c r="C3031" s="11"/>
      <c r="D3031" s="11"/>
      <c r="E3031" s="11"/>
      <c r="F3031" s="11"/>
      <c r="G3031" s="11"/>
      <c r="H3031" s="11"/>
      <c r="I3031" s="11"/>
      <c r="J3031" s="11"/>
      <c r="K3031" s="11"/>
      <c r="L3031" s="11"/>
      <c r="M3031" s="11"/>
      <c r="N3031" s="11"/>
      <c r="O3031" s="11"/>
      <c r="P3031" s="11"/>
      <c r="Q3031" s="11"/>
      <c r="R3031" s="11"/>
      <c r="S3031" s="11"/>
    </row>
    <row r="3032" spans="1:19" s="9" customFormat="1" x14ac:dyDescent="0.25">
      <c r="A3032" s="10"/>
      <c r="B3032" s="11"/>
      <c r="C3032" s="11"/>
      <c r="D3032" s="11"/>
      <c r="E3032" s="11"/>
      <c r="F3032" s="11"/>
      <c r="G3032" s="11"/>
      <c r="H3032" s="11"/>
      <c r="I3032" s="11"/>
      <c r="J3032" s="11"/>
      <c r="K3032" s="11"/>
      <c r="L3032" s="11"/>
      <c r="M3032" s="11"/>
      <c r="N3032" s="11"/>
      <c r="O3032" s="11"/>
      <c r="P3032" s="11"/>
      <c r="Q3032" s="11"/>
      <c r="R3032" s="11"/>
      <c r="S3032" s="11"/>
    </row>
    <row r="3033" spans="1:19" s="9" customFormat="1" x14ac:dyDescent="0.25">
      <c r="A3033" s="10"/>
      <c r="B3033" s="11"/>
      <c r="C3033" s="11"/>
      <c r="D3033" s="11"/>
      <c r="E3033" s="11"/>
      <c r="F3033" s="11"/>
      <c r="G3033" s="11"/>
      <c r="H3033" s="11"/>
      <c r="I3033" s="11"/>
      <c r="J3033" s="11"/>
      <c r="K3033" s="11"/>
      <c r="L3033" s="11"/>
      <c r="M3033" s="11"/>
      <c r="N3033" s="11"/>
      <c r="O3033" s="11"/>
      <c r="P3033" s="11"/>
      <c r="Q3033" s="11"/>
      <c r="R3033" s="11"/>
      <c r="S3033" s="11"/>
    </row>
    <row r="3034" spans="1:19" s="9" customFormat="1" x14ac:dyDescent="0.25">
      <c r="A3034" s="10"/>
      <c r="B3034" s="11"/>
      <c r="C3034" s="11"/>
      <c r="D3034" s="11"/>
      <c r="E3034" s="11"/>
      <c r="F3034" s="11"/>
      <c r="G3034" s="11"/>
      <c r="H3034" s="11"/>
      <c r="I3034" s="11"/>
      <c r="J3034" s="11"/>
      <c r="K3034" s="11"/>
      <c r="L3034" s="11"/>
      <c r="M3034" s="11"/>
      <c r="N3034" s="11"/>
      <c r="O3034" s="11"/>
      <c r="P3034" s="11"/>
      <c r="Q3034" s="11"/>
      <c r="R3034" s="11"/>
      <c r="S3034" s="11"/>
    </row>
    <row r="3035" spans="1:19" s="9" customFormat="1" x14ac:dyDescent="0.25">
      <c r="A3035" s="10"/>
      <c r="B3035" s="11"/>
      <c r="C3035" s="11"/>
      <c r="D3035" s="11"/>
      <c r="E3035" s="11"/>
      <c r="F3035" s="11"/>
      <c r="G3035" s="11"/>
      <c r="H3035" s="11"/>
      <c r="I3035" s="11"/>
      <c r="J3035" s="11"/>
      <c r="K3035" s="11"/>
      <c r="L3035" s="11"/>
      <c r="M3035" s="11"/>
      <c r="N3035" s="11"/>
      <c r="O3035" s="11"/>
      <c r="P3035" s="11"/>
      <c r="Q3035" s="11"/>
      <c r="R3035" s="11"/>
      <c r="S3035" s="11"/>
    </row>
    <row r="3036" spans="1:19" s="9" customFormat="1" x14ac:dyDescent="0.25">
      <c r="A3036" s="10"/>
      <c r="B3036" s="11"/>
      <c r="C3036" s="11"/>
      <c r="D3036" s="11"/>
      <c r="E3036" s="11"/>
      <c r="F3036" s="11"/>
      <c r="G3036" s="11"/>
      <c r="H3036" s="11"/>
      <c r="I3036" s="11"/>
      <c r="J3036" s="11"/>
      <c r="K3036" s="11"/>
      <c r="L3036" s="11"/>
      <c r="M3036" s="11"/>
      <c r="N3036" s="11"/>
      <c r="O3036" s="11"/>
      <c r="P3036" s="11"/>
      <c r="Q3036" s="11"/>
      <c r="R3036" s="11"/>
      <c r="S3036" s="11"/>
    </row>
    <row r="3037" spans="1:19" s="9" customFormat="1" x14ac:dyDescent="0.25">
      <c r="A3037" s="10"/>
      <c r="B3037" s="11"/>
      <c r="C3037" s="11"/>
      <c r="D3037" s="11"/>
      <c r="E3037" s="11"/>
      <c r="F3037" s="11"/>
      <c r="G3037" s="11"/>
      <c r="H3037" s="11"/>
      <c r="I3037" s="11"/>
      <c r="J3037" s="11"/>
      <c r="K3037" s="11"/>
      <c r="L3037" s="11"/>
      <c r="M3037" s="11"/>
      <c r="N3037" s="11"/>
      <c r="O3037" s="11"/>
      <c r="P3037" s="11"/>
      <c r="Q3037" s="11"/>
      <c r="R3037" s="11"/>
      <c r="S3037" s="11"/>
    </row>
    <row r="3038" spans="1:19" s="9" customFormat="1" x14ac:dyDescent="0.25">
      <c r="A3038" s="10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  <c r="O3038" s="11"/>
      <c r="P3038" s="11"/>
      <c r="Q3038" s="11"/>
      <c r="R3038" s="11"/>
      <c r="S3038" s="11"/>
    </row>
    <row r="3039" spans="1:19" s="9" customFormat="1" x14ac:dyDescent="0.25">
      <c r="A3039" s="10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  <c r="R3039" s="11"/>
      <c r="S3039" s="11"/>
    </row>
    <row r="3040" spans="1:19" s="9" customFormat="1" x14ac:dyDescent="0.25">
      <c r="A3040" s="10"/>
      <c r="B3040" s="11"/>
      <c r="C3040" s="11"/>
      <c r="D3040" s="11"/>
      <c r="E3040" s="11"/>
      <c r="F3040" s="11"/>
      <c r="G3040" s="11"/>
      <c r="H3040" s="11"/>
      <c r="I3040" s="11"/>
      <c r="J3040" s="11"/>
      <c r="K3040" s="11"/>
      <c r="L3040" s="11"/>
      <c r="M3040" s="11"/>
      <c r="N3040" s="11"/>
      <c r="O3040" s="11"/>
      <c r="P3040" s="11"/>
      <c r="Q3040" s="11"/>
      <c r="R3040" s="11"/>
      <c r="S3040" s="11"/>
    </row>
    <row r="3041" spans="1:19" s="9" customFormat="1" x14ac:dyDescent="0.25">
      <c r="A3041" s="10"/>
      <c r="B3041" s="11"/>
      <c r="C3041" s="11"/>
      <c r="D3041" s="11"/>
      <c r="E3041" s="11"/>
      <c r="F3041" s="11"/>
      <c r="G3041" s="11"/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  <c r="R3041" s="11"/>
      <c r="S3041" s="11"/>
    </row>
    <row r="3042" spans="1:19" s="9" customFormat="1" x14ac:dyDescent="0.25">
      <c r="A3042" s="10"/>
      <c r="B3042" s="11"/>
      <c r="C3042" s="11"/>
      <c r="D3042" s="11"/>
      <c r="E3042" s="11"/>
      <c r="F3042" s="11"/>
      <c r="G3042" s="11"/>
      <c r="H3042" s="11"/>
      <c r="I3042" s="11"/>
      <c r="J3042" s="11"/>
      <c r="K3042" s="11"/>
      <c r="L3042" s="11"/>
      <c r="M3042" s="11"/>
      <c r="N3042" s="11"/>
      <c r="O3042" s="11"/>
      <c r="P3042" s="11"/>
      <c r="Q3042" s="11"/>
      <c r="R3042" s="11"/>
      <c r="S3042" s="11"/>
    </row>
    <row r="3043" spans="1:19" s="9" customFormat="1" x14ac:dyDescent="0.25">
      <c r="A3043" s="10"/>
      <c r="B3043" s="11"/>
      <c r="C3043" s="11"/>
      <c r="D3043" s="11"/>
      <c r="E3043" s="11"/>
      <c r="F3043" s="11"/>
      <c r="G3043" s="11"/>
      <c r="H3043" s="11"/>
      <c r="I3043" s="11"/>
      <c r="J3043" s="11"/>
      <c r="K3043" s="11"/>
      <c r="L3043" s="11"/>
      <c r="M3043" s="11"/>
      <c r="N3043" s="11"/>
      <c r="O3043" s="11"/>
      <c r="P3043" s="11"/>
      <c r="Q3043" s="11"/>
      <c r="R3043" s="11"/>
      <c r="S3043" s="11"/>
    </row>
    <row r="3044" spans="1:19" s="9" customFormat="1" x14ac:dyDescent="0.25">
      <c r="A3044" s="10"/>
      <c r="B3044" s="11"/>
      <c r="C3044" s="11"/>
      <c r="D3044" s="11"/>
      <c r="E3044" s="11"/>
      <c r="F3044" s="11"/>
      <c r="G3044" s="11"/>
      <c r="H3044" s="11"/>
      <c r="I3044" s="11"/>
      <c r="J3044" s="11"/>
      <c r="K3044" s="11"/>
      <c r="L3044" s="11"/>
      <c r="M3044" s="11"/>
      <c r="N3044" s="11"/>
      <c r="O3044" s="11"/>
      <c r="P3044" s="11"/>
      <c r="Q3044" s="11"/>
      <c r="R3044" s="11"/>
      <c r="S3044" s="11"/>
    </row>
    <row r="3045" spans="1:19" s="9" customFormat="1" x14ac:dyDescent="0.25">
      <c r="A3045" s="10"/>
      <c r="B3045" s="11"/>
      <c r="C3045" s="11"/>
      <c r="D3045" s="11"/>
      <c r="E3045" s="11"/>
      <c r="F3045" s="11"/>
      <c r="G3045" s="11"/>
      <c r="H3045" s="11"/>
      <c r="I3045" s="11"/>
      <c r="J3045" s="11"/>
      <c r="K3045" s="11"/>
      <c r="L3045" s="11"/>
      <c r="M3045" s="11"/>
      <c r="N3045" s="11"/>
      <c r="O3045" s="11"/>
      <c r="P3045" s="11"/>
      <c r="Q3045" s="11"/>
      <c r="R3045" s="11"/>
      <c r="S3045" s="11"/>
    </row>
    <row r="3046" spans="1:19" s="9" customFormat="1" x14ac:dyDescent="0.25">
      <c r="A3046" s="10"/>
      <c r="B3046" s="11"/>
      <c r="C3046" s="11"/>
      <c r="D3046" s="11"/>
      <c r="E3046" s="11"/>
      <c r="F3046" s="11"/>
      <c r="G3046" s="11"/>
      <c r="H3046" s="11"/>
      <c r="I3046" s="11"/>
      <c r="J3046" s="11"/>
      <c r="K3046" s="11"/>
      <c r="L3046" s="11"/>
      <c r="M3046" s="11"/>
      <c r="N3046" s="11"/>
      <c r="O3046" s="11"/>
      <c r="P3046" s="11"/>
      <c r="Q3046" s="11"/>
      <c r="R3046" s="11"/>
      <c r="S3046" s="11"/>
    </row>
    <row r="3047" spans="1:19" s="9" customFormat="1" x14ac:dyDescent="0.25">
      <c r="A3047" s="10"/>
      <c r="B3047" s="11"/>
      <c r="C3047" s="11"/>
      <c r="D3047" s="11"/>
      <c r="E3047" s="11"/>
      <c r="F3047" s="11"/>
      <c r="G3047" s="11"/>
      <c r="H3047" s="11"/>
      <c r="I3047" s="11"/>
      <c r="J3047" s="11"/>
      <c r="K3047" s="11"/>
      <c r="L3047" s="11"/>
      <c r="M3047" s="11"/>
      <c r="N3047" s="11"/>
      <c r="O3047" s="11"/>
      <c r="P3047" s="11"/>
      <c r="Q3047" s="11"/>
      <c r="R3047" s="11"/>
      <c r="S3047" s="11"/>
    </row>
    <row r="3048" spans="1:19" s="9" customFormat="1" x14ac:dyDescent="0.25">
      <c r="A3048" s="10"/>
      <c r="B3048" s="11"/>
      <c r="C3048" s="11"/>
      <c r="D3048" s="11"/>
      <c r="E3048" s="11"/>
      <c r="F3048" s="11"/>
      <c r="G3048" s="11"/>
      <c r="H3048" s="11"/>
      <c r="I3048" s="11"/>
      <c r="J3048" s="11"/>
      <c r="K3048" s="11"/>
      <c r="L3048" s="11"/>
      <c r="M3048" s="11"/>
      <c r="N3048" s="11"/>
      <c r="O3048" s="11"/>
      <c r="P3048" s="11"/>
      <c r="Q3048" s="11"/>
      <c r="R3048" s="11"/>
      <c r="S3048" s="11"/>
    </row>
    <row r="3049" spans="1:19" s="9" customFormat="1" x14ac:dyDescent="0.25">
      <c r="A3049" s="10"/>
      <c r="B3049" s="11"/>
      <c r="C3049" s="11"/>
      <c r="D3049" s="11"/>
      <c r="E3049" s="11"/>
      <c r="F3049" s="11"/>
      <c r="G3049" s="11"/>
      <c r="H3049" s="11"/>
      <c r="I3049" s="11"/>
      <c r="J3049" s="11"/>
      <c r="K3049" s="11"/>
      <c r="L3049" s="11"/>
      <c r="M3049" s="11"/>
      <c r="N3049" s="11"/>
      <c r="O3049" s="11"/>
      <c r="P3049" s="11"/>
      <c r="Q3049" s="11"/>
      <c r="R3049" s="11"/>
      <c r="S3049" s="11"/>
    </row>
    <row r="3050" spans="1:19" s="9" customFormat="1" x14ac:dyDescent="0.25">
      <c r="A3050" s="10"/>
      <c r="B3050" s="11"/>
      <c r="C3050" s="11"/>
      <c r="D3050" s="11"/>
      <c r="E3050" s="11"/>
      <c r="F3050" s="11"/>
      <c r="G3050" s="11"/>
      <c r="H3050" s="11"/>
      <c r="I3050" s="11"/>
      <c r="J3050" s="11"/>
      <c r="K3050" s="11"/>
      <c r="L3050" s="11"/>
      <c r="M3050" s="11"/>
      <c r="N3050" s="11"/>
      <c r="O3050" s="11"/>
      <c r="P3050" s="11"/>
      <c r="Q3050" s="11"/>
      <c r="R3050" s="11"/>
      <c r="S3050" s="11"/>
    </row>
    <row r="3051" spans="1:19" s="9" customFormat="1" x14ac:dyDescent="0.25">
      <c r="A3051" s="10"/>
      <c r="B3051" s="11"/>
      <c r="C3051" s="11"/>
      <c r="D3051" s="11"/>
      <c r="E3051" s="11"/>
      <c r="F3051" s="11"/>
      <c r="G3051" s="11"/>
      <c r="H3051" s="11"/>
      <c r="I3051" s="11"/>
      <c r="J3051" s="11"/>
      <c r="K3051" s="11"/>
      <c r="L3051" s="11"/>
      <c r="M3051" s="11"/>
      <c r="N3051" s="11"/>
      <c r="O3051" s="11"/>
      <c r="P3051" s="11"/>
      <c r="Q3051" s="11"/>
      <c r="R3051" s="11"/>
      <c r="S3051" s="11"/>
    </row>
    <row r="3052" spans="1:19" s="9" customFormat="1" x14ac:dyDescent="0.25">
      <c r="A3052" s="10"/>
      <c r="B3052" s="11"/>
      <c r="C3052" s="11"/>
      <c r="D3052" s="11"/>
      <c r="E3052" s="11"/>
      <c r="F3052" s="11"/>
      <c r="G3052" s="11"/>
      <c r="H3052" s="11"/>
      <c r="I3052" s="11"/>
      <c r="J3052" s="11"/>
      <c r="K3052" s="11"/>
      <c r="L3052" s="11"/>
      <c r="M3052" s="11"/>
      <c r="N3052" s="11"/>
      <c r="O3052" s="11"/>
      <c r="P3052" s="11"/>
      <c r="Q3052" s="11"/>
      <c r="R3052" s="11"/>
      <c r="S3052" s="11"/>
    </row>
    <row r="3053" spans="1:19" s="9" customFormat="1" x14ac:dyDescent="0.25">
      <c r="A3053" s="10"/>
      <c r="B3053" s="11"/>
      <c r="C3053" s="11"/>
      <c r="D3053" s="11"/>
      <c r="E3053" s="11"/>
      <c r="F3053" s="11"/>
      <c r="G3053" s="11"/>
      <c r="H3053" s="11"/>
      <c r="I3053" s="11"/>
      <c r="J3053" s="11"/>
      <c r="K3053" s="11"/>
      <c r="L3053" s="11"/>
      <c r="M3053" s="11"/>
      <c r="N3053" s="11"/>
      <c r="O3053" s="11"/>
      <c r="P3053" s="11"/>
      <c r="Q3053" s="11"/>
      <c r="R3053" s="11"/>
      <c r="S3053" s="11"/>
    </row>
    <row r="3054" spans="1:19" s="9" customFormat="1" x14ac:dyDescent="0.25">
      <c r="A3054" s="10"/>
      <c r="B3054" s="11"/>
      <c r="C3054" s="11"/>
      <c r="D3054" s="11"/>
      <c r="E3054" s="11"/>
      <c r="F3054" s="11"/>
      <c r="G3054" s="11"/>
      <c r="H3054" s="11"/>
      <c r="I3054" s="11"/>
      <c r="J3054" s="11"/>
      <c r="K3054" s="11"/>
      <c r="L3054" s="11"/>
      <c r="M3054" s="11"/>
      <c r="N3054" s="11"/>
      <c r="O3054" s="11"/>
      <c r="P3054" s="11"/>
      <c r="Q3054" s="11"/>
      <c r="R3054" s="11"/>
      <c r="S3054" s="11"/>
    </row>
    <row r="3055" spans="1:19" s="9" customFormat="1" x14ac:dyDescent="0.25">
      <c r="A3055" s="10"/>
      <c r="B3055" s="11"/>
      <c r="C3055" s="11"/>
      <c r="D3055" s="11"/>
      <c r="E3055" s="11"/>
      <c r="F3055" s="11"/>
      <c r="G3055" s="11"/>
      <c r="H3055" s="11"/>
      <c r="I3055" s="11"/>
      <c r="J3055" s="11"/>
      <c r="K3055" s="11"/>
      <c r="L3055" s="11"/>
      <c r="M3055" s="11"/>
      <c r="N3055" s="11"/>
      <c r="O3055" s="11"/>
      <c r="P3055" s="11"/>
      <c r="Q3055" s="11"/>
      <c r="R3055" s="11"/>
      <c r="S3055" s="11"/>
    </row>
    <row r="3056" spans="1:19" s="9" customFormat="1" x14ac:dyDescent="0.25">
      <c r="A3056" s="10"/>
      <c r="B3056" s="11"/>
      <c r="C3056" s="11"/>
      <c r="D3056" s="11"/>
      <c r="E3056" s="11"/>
      <c r="F3056" s="11"/>
      <c r="G3056" s="11"/>
      <c r="H3056" s="11"/>
      <c r="I3056" s="11"/>
      <c r="J3056" s="11"/>
      <c r="K3056" s="11"/>
      <c r="L3056" s="11"/>
      <c r="M3056" s="11"/>
      <c r="N3056" s="11"/>
      <c r="O3056" s="11"/>
      <c r="P3056" s="11"/>
      <c r="Q3056" s="11"/>
      <c r="R3056" s="11"/>
      <c r="S3056" s="11"/>
    </row>
    <row r="3057" spans="1:19" s="9" customFormat="1" x14ac:dyDescent="0.25">
      <c r="A3057" s="10"/>
      <c r="B3057" s="11"/>
      <c r="C3057" s="11"/>
      <c r="D3057" s="11"/>
      <c r="E3057" s="11"/>
      <c r="F3057" s="11"/>
      <c r="G3057" s="11"/>
      <c r="H3057" s="11"/>
      <c r="I3057" s="11"/>
      <c r="J3057" s="11"/>
      <c r="K3057" s="11"/>
      <c r="L3057" s="11"/>
      <c r="M3057" s="11"/>
      <c r="N3057" s="11"/>
      <c r="O3057" s="11"/>
      <c r="P3057" s="11"/>
      <c r="Q3057" s="11"/>
      <c r="R3057" s="11"/>
      <c r="S3057" s="11"/>
    </row>
    <row r="3058" spans="1:19" s="9" customFormat="1" x14ac:dyDescent="0.25">
      <c r="A3058" s="10"/>
      <c r="B3058" s="11"/>
      <c r="C3058" s="11"/>
      <c r="D3058" s="11"/>
      <c r="E3058" s="11"/>
      <c r="F3058" s="11"/>
      <c r="G3058" s="11"/>
      <c r="H3058" s="11"/>
      <c r="I3058" s="11"/>
      <c r="J3058" s="11"/>
      <c r="K3058" s="11"/>
      <c r="L3058" s="11"/>
      <c r="M3058" s="11"/>
      <c r="N3058" s="11"/>
      <c r="O3058" s="11"/>
      <c r="P3058" s="11"/>
      <c r="Q3058" s="11"/>
      <c r="R3058" s="11"/>
      <c r="S3058" s="11"/>
    </row>
    <row r="3059" spans="1:19" s="9" customFormat="1" x14ac:dyDescent="0.25">
      <c r="A3059" s="10"/>
      <c r="B3059" s="11"/>
      <c r="C3059" s="11"/>
      <c r="D3059" s="11"/>
      <c r="E3059" s="11"/>
      <c r="F3059" s="11"/>
      <c r="G3059" s="11"/>
      <c r="H3059" s="11"/>
      <c r="I3059" s="11"/>
      <c r="J3059" s="11"/>
      <c r="K3059" s="11"/>
      <c r="L3059" s="11"/>
      <c r="M3059" s="11"/>
      <c r="N3059" s="11"/>
      <c r="O3059" s="11"/>
      <c r="P3059" s="11"/>
      <c r="Q3059" s="11"/>
      <c r="R3059" s="11"/>
      <c r="S3059" s="11"/>
    </row>
    <row r="3060" spans="1:19" s="9" customFormat="1" x14ac:dyDescent="0.25">
      <c r="A3060" s="10"/>
      <c r="B3060" s="11"/>
      <c r="C3060" s="11"/>
      <c r="D3060" s="11"/>
      <c r="E3060" s="11"/>
      <c r="F3060" s="11"/>
      <c r="G3060" s="11"/>
      <c r="H3060" s="11"/>
      <c r="I3060" s="11"/>
      <c r="J3060" s="11"/>
      <c r="K3060" s="11"/>
      <c r="L3060" s="11"/>
      <c r="M3060" s="11"/>
      <c r="N3060" s="11"/>
      <c r="O3060" s="11"/>
      <c r="P3060" s="11"/>
      <c r="Q3060" s="11"/>
      <c r="R3060" s="11"/>
      <c r="S3060" s="11"/>
    </row>
    <row r="3061" spans="1:19" s="9" customFormat="1" x14ac:dyDescent="0.25">
      <c r="A3061" s="10"/>
      <c r="B3061" s="11"/>
      <c r="C3061" s="11"/>
      <c r="D3061" s="11"/>
      <c r="E3061" s="11"/>
      <c r="F3061" s="11"/>
      <c r="G3061" s="11"/>
      <c r="H3061" s="11"/>
      <c r="I3061" s="11"/>
      <c r="J3061" s="11"/>
      <c r="K3061" s="11"/>
      <c r="L3061" s="11"/>
      <c r="M3061" s="11"/>
      <c r="N3061" s="11"/>
      <c r="O3061" s="11"/>
      <c r="P3061" s="11"/>
      <c r="Q3061" s="11"/>
      <c r="R3061" s="11"/>
      <c r="S3061" s="11"/>
    </row>
    <row r="3062" spans="1:19" s="9" customFormat="1" x14ac:dyDescent="0.25">
      <c r="A3062" s="10"/>
      <c r="B3062" s="11"/>
      <c r="C3062" s="11"/>
      <c r="D3062" s="11"/>
      <c r="E3062" s="11"/>
      <c r="F3062" s="11"/>
      <c r="G3062" s="11"/>
      <c r="H3062" s="11"/>
      <c r="I3062" s="11"/>
      <c r="J3062" s="11"/>
      <c r="K3062" s="11"/>
      <c r="L3062" s="11"/>
      <c r="M3062" s="11"/>
      <c r="N3062" s="11"/>
      <c r="O3062" s="11"/>
      <c r="P3062" s="11"/>
      <c r="Q3062" s="11"/>
      <c r="R3062" s="11"/>
      <c r="S3062" s="11"/>
    </row>
    <row r="3063" spans="1:19" s="9" customFormat="1" x14ac:dyDescent="0.25">
      <c r="A3063" s="10"/>
      <c r="B3063" s="11"/>
      <c r="C3063" s="11"/>
      <c r="D3063" s="11"/>
      <c r="E3063" s="11"/>
      <c r="F3063" s="11"/>
      <c r="G3063" s="11"/>
      <c r="H3063" s="11"/>
      <c r="I3063" s="11"/>
      <c r="J3063" s="11"/>
      <c r="K3063" s="11"/>
      <c r="L3063" s="11"/>
      <c r="M3063" s="11"/>
      <c r="N3063" s="11"/>
      <c r="O3063" s="11"/>
      <c r="P3063" s="11"/>
      <c r="Q3063" s="11"/>
      <c r="R3063" s="11"/>
      <c r="S3063" s="11"/>
    </row>
    <row r="3064" spans="1:19" s="9" customFormat="1" x14ac:dyDescent="0.25">
      <c r="A3064" s="10"/>
      <c r="B3064" s="11"/>
      <c r="C3064" s="11"/>
      <c r="D3064" s="11"/>
      <c r="E3064" s="11"/>
      <c r="F3064" s="11"/>
      <c r="G3064" s="11"/>
      <c r="H3064" s="11"/>
      <c r="I3064" s="11"/>
      <c r="J3064" s="11"/>
      <c r="K3064" s="11"/>
      <c r="L3064" s="11"/>
      <c r="M3064" s="11"/>
      <c r="N3064" s="11"/>
      <c r="O3064" s="11"/>
      <c r="P3064" s="11"/>
      <c r="Q3064" s="11"/>
      <c r="R3064" s="11"/>
      <c r="S3064" s="11"/>
    </row>
    <row r="3065" spans="1:19" s="9" customFormat="1" x14ac:dyDescent="0.25">
      <c r="A3065" s="10"/>
      <c r="B3065" s="11"/>
      <c r="C3065" s="11"/>
      <c r="D3065" s="11"/>
      <c r="E3065" s="11"/>
      <c r="F3065" s="11"/>
      <c r="G3065" s="11"/>
      <c r="H3065" s="11"/>
      <c r="I3065" s="11"/>
      <c r="J3065" s="11"/>
      <c r="K3065" s="11"/>
      <c r="L3065" s="11"/>
      <c r="M3065" s="11"/>
      <c r="N3065" s="11"/>
      <c r="O3065" s="11"/>
      <c r="P3065" s="11"/>
      <c r="Q3065" s="11"/>
      <c r="R3065" s="11"/>
      <c r="S3065" s="11"/>
    </row>
    <row r="3066" spans="1:19" s="9" customFormat="1" x14ac:dyDescent="0.25">
      <c r="A3066" s="10"/>
      <c r="B3066" s="11"/>
      <c r="C3066" s="11"/>
      <c r="D3066" s="11"/>
      <c r="E3066" s="11"/>
      <c r="F3066" s="11"/>
      <c r="G3066" s="11"/>
      <c r="H3066" s="11"/>
      <c r="I3066" s="11"/>
      <c r="J3066" s="11"/>
      <c r="K3066" s="11"/>
      <c r="L3066" s="11"/>
      <c r="M3066" s="11"/>
      <c r="N3066" s="11"/>
      <c r="O3066" s="11"/>
      <c r="P3066" s="11"/>
      <c r="Q3066" s="11"/>
      <c r="R3066" s="11"/>
      <c r="S3066" s="11"/>
    </row>
    <row r="3067" spans="1:19" s="9" customFormat="1" x14ac:dyDescent="0.25">
      <c r="A3067" s="10"/>
      <c r="B3067" s="11"/>
      <c r="C3067" s="11"/>
      <c r="D3067" s="11"/>
      <c r="E3067" s="11"/>
      <c r="F3067" s="11"/>
      <c r="G3067" s="11"/>
      <c r="H3067" s="11"/>
      <c r="I3067" s="11"/>
      <c r="J3067" s="11"/>
      <c r="K3067" s="11"/>
      <c r="L3067" s="11"/>
      <c r="M3067" s="11"/>
      <c r="N3067" s="11"/>
      <c r="O3067" s="11"/>
      <c r="P3067" s="11"/>
      <c r="Q3067" s="11"/>
      <c r="R3067" s="11"/>
      <c r="S3067" s="11"/>
    </row>
    <row r="3068" spans="1:19" s="9" customFormat="1" x14ac:dyDescent="0.25">
      <c r="A3068" s="10"/>
      <c r="B3068" s="11"/>
      <c r="C3068" s="11"/>
      <c r="D3068" s="11"/>
      <c r="E3068" s="11"/>
      <c r="F3068" s="11"/>
      <c r="G3068" s="11"/>
      <c r="H3068" s="11"/>
      <c r="I3068" s="11"/>
      <c r="J3068" s="11"/>
      <c r="K3068" s="11"/>
      <c r="L3068" s="11"/>
      <c r="M3068" s="11"/>
      <c r="N3068" s="11"/>
      <c r="O3068" s="11"/>
      <c r="P3068" s="11"/>
      <c r="Q3068" s="11"/>
      <c r="R3068" s="11"/>
      <c r="S3068" s="11"/>
    </row>
    <row r="3069" spans="1:19" s="9" customFormat="1" x14ac:dyDescent="0.25">
      <c r="A3069" s="10"/>
      <c r="B3069" s="11"/>
      <c r="C3069" s="11"/>
      <c r="D3069" s="11"/>
      <c r="E3069" s="11"/>
      <c r="F3069" s="11"/>
      <c r="G3069" s="11"/>
      <c r="H3069" s="11"/>
      <c r="I3069" s="11"/>
      <c r="J3069" s="11"/>
      <c r="K3069" s="11"/>
      <c r="L3069" s="11"/>
      <c r="M3069" s="11"/>
      <c r="N3069" s="11"/>
      <c r="O3069" s="11"/>
      <c r="P3069" s="11"/>
      <c r="Q3069" s="11"/>
      <c r="R3069" s="11"/>
      <c r="S3069" s="11"/>
    </row>
    <row r="3070" spans="1:19" s="9" customFormat="1" x14ac:dyDescent="0.25">
      <c r="A3070" s="10"/>
      <c r="B3070" s="11"/>
      <c r="C3070" s="11"/>
      <c r="D3070" s="11"/>
      <c r="E3070" s="11"/>
      <c r="F3070" s="11"/>
      <c r="G3070" s="11"/>
      <c r="H3070" s="11"/>
      <c r="I3070" s="11"/>
      <c r="J3070" s="11"/>
      <c r="K3070" s="11"/>
      <c r="L3070" s="11"/>
      <c r="M3070" s="11"/>
      <c r="N3070" s="11"/>
      <c r="O3070" s="11"/>
      <c r="P3070" s="11"/>
      <c r="Q3070" s="11"/>
      <c r="R3070" s="11"/>
      <c r="S3070" s="11"/>
    </row>
    <row r="3071" spans="1:19" s="9" customFormat="1" x14ac:dyDescent="0.25">
      <c r="A3071" s="10"/>
      <c r="B3071" s="11"/>
      <c r="C3071" s="11"/>
      <c r="D3071" s="11"/>
      <c r="E3071" s="11"/>
      <c r="F3071" s="11"/>
      <c r="G3071" s="11"/>
      <c r="H3071" s="11"/>
      <c r="I3071" s="11"/>
      <c r="J3071" s="11"/>
      <c r="K3071" s="11"/>
      <c r="L3071" s="11"/>
      <c r="M3071" s="11"/>
      <c r="N3071" s="11"/>
      <c r="O3071" s="11"/>
      <c r="P3071" s="11"/>
      <c r="Q3071" s="11"/>
      <c r="R3071" s="11"/>
      <c r="S3071" s="11"/>
    </row>
    <row r="3072" spans="1:19" s="9" customFormat="1" x14ac:dyDescent="0.25">
      <c r="A3072" s="10"/>
      <c r="B3072" s="11"/>
      <c r="C3072" s="11"/>
      <c r="D3072" s="11"/>
      <c r="E3072" s="11"/>
      <c r="F3072" s="11"/>
      <c r="G3072" s="11"/>
      <c r="H3072" s="11"/>
      <c r="I3072" s="11"/>
      <c r="J3072" s="11"/>
      <c r="K3072" s="11"/>
      <c r="L3072" s="11"/>
      <c r="M3072" s="11"/>
      <c r="N3072" s="11"/>
      <c r="O3072" s="11"/>
      <c r="P3072" s="11"/>
      <c r="Q3072" s="11"/>
      <c r="R3072" s="11"/>
      <c r="S3072" s="11"/>
    </row>
    <row r="3073" spans="1:19" s="9" customFormat="1" x14ac:dyDescent="0.25">
      <c r="A3073" s="10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  <c r="O3073" s="11"/>
      <c r="P3073" s="11"/>
      <c r="Q3073" s="11"/>
      <c r="R3073" s="11"/>
      <c r="S3073" s="11"/>
    </row>
    <row r="3074" spans="1:19" s="9" customFormat="1" x14ac:dyDescent="0.25">
      <c r="A3074" s="10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  <c r="O3074" s="11"/>
      <c r="P3074" s="11"/>
      <c r="Q3074" s="11"/>
      <c r="R3074" s="11"/>
      <c r="S3074" s="11"/>
    </row>
    <row r="3075" spans="1:19" s="9" customFormat="1" x14ac:dyDescent="0.25">
      <c r="A3075" s="10"/>
      <c r="B3075" s="11"/>
      <c r="C3075" s="11"/>
      <c r="D3075" s="11"/>
      <c r="E3075" s="11"/>
      <c r="F3075" s="11"/>
      <c r="G3075" s="11"/>
      <c r="H3075" s="11"/>
      <c r="I3075" s="11"/>
      <c r="J3075" s="11"/>
      <c r="K3075" s="11"/>
      <c r="L3075" s="11"/>
      <c r="M3075" s="11"/>
      <c r="N3075" s="11"/>
      <c r="O3075" s="11"/>
      <c r="P3075" s="11"/>
      <c r="Q3075" s="11"/>
      <c r="R3075" s="11"/>
      <c r="S3075" s="11"/>
    </row>
    <row r="3076" spans="1:19" s="9" customFormat="1" x14ac:dyDescent="0.25">
      <c r="A3076" s="10"/>
      <c r="B3076" s="11"/>
      <c r="C3076" s="11"/>
      <c r="D3076" s="11"/>
      <c r="E3076" s="11"/>
      <c r="F3076" s="11"/>
      <c r="G3076" s="11"/>
      <c r="H3076" s="11"/>
      <c r="I3076" s="11"/>
      <c r="J3076" s="11"/>
      <c r="K3076" s="11"/>
      <c r="L3076" s="11"/>
      <c r="M3076" s="11"/>
      <c r="N3076" s="11"/>
      <c r="O3076" s="11"/>
      <c r="P3076" s="11"/>
      <c r="Q3076" s="11"/>
      <c r="R3076" s="11"/>
      <c r="S3076" s="11"/>
    </row>
    <row r="3077" spans="1:19" s="9" customFormat="1" x14ac:dyDescent="0.25">
      <c r="A3077" s="10"/>
      <c r="B3077" s="11"/>
      <c r="C3077" s="11"/>
      <c r="D3077" s="11"/>
      <c r="E3077" s="11"/>
      <c r="F3077" s="11"/>
      <c r="G3077" s="11"/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  <c r="R3077" s="11"/>
      <c r="S3077" s="11"/>
    </row>
    <row r="3078" spans="1:19" s="9" customFormat="1" x14ac:dyDescent="0.25">
      <c r="A3078" s="10"/>
      <c r="B3078" s="11"/>
      <c r="C3078" s="11"/>
      <c r="D3078" s="11"/>
      <c r="E3078" s="11"/>
      <c r="F3078" s="11"/>
      <c r="G3078" s="11"/>
      <c r="H3078" s="11"/>
      <c r="I3078" s="11"/>
      <c r="J3078" s="11"/>
      <c r="K3078" s="11"/>
      <c r="L3078" s="11"/>
      <c r="M3078" s="11"/>
      <c r="N3078" s="11"/>
      <c r="O3078" s="11"/>
      <c r="P3078" s="11"/>
      <c r="Q3078" s="11"/>
      <c r="R3078" s="11"/>
      <c r="S3078" s="11"/>
    </row>
    <row r="3079" spans="1:19" s="9" customFormat="1" x14ac:dyDescent="0.25">
      <c r="A3079" s="10"/>
      <c r="B3079" s="11"/>
      <c r="C3079" s="11"/>
      <c r="D3079" s="11"/>
      <c r="E3079" s="11"/>
      <c r="F3079" s="11"/>
      <c r="G3079" s="11"/>
      <c r="H3079" s="11"/>
      <c r="I3079" s="11"/>
      <c r="J3079" s="11"/>
      <c r="K3079" s="11"/>
      <c r="L3079" s="11"/>
      <c r="M3079" s="11"/>
      <c r="N3079" s="11"/>
      <c r="O3079" s="11"/>
      <c r="P3079" s="11"/>
      <c r="Q3079" s="11"/>
      <c r="R3079" s="11"/>
      <c r="S3079" s="11"/>
    </row>
    <row r="3080" spans="1:19" s="9" customFormat="1" x14ac:dyDescent="0.25">
      <c r="A3080" s="10"/>
      <c r="B3080" s="11"/>
      <c r="C3080" s="11"/>
      <c r="D3080" s="11"/>
      <c r="E3080" s="11"/>
      <c r="F3080" s="11"/>
      <c r="G3080" s="11"/>
      <c r="H3080" s="11"/>
      <c r="I3080" s="11"/>
      <c r="J3080" s="11"/>
      <c r="K3080" s="11"/>
      <c r="L3080" s="11"/>
      <c r="M3080" s="11"/>
      <c r="N3080" s="11"/>
      <c r="O3080" s="11"/>
      <c r="P3080" s="11"/>
      <c r="Q3080" s="11"/>
      <c r="R3080" s="11"/>
      <c r="S3080" s="11"/>
    </row>
    <row r="3081" spans="1:19" s="9" customFormat="1" x14ac:dyDescent="0.25">
      <c r="A3081" s="10"/>
      <c r="B3081" s="11"/>
      <c r="C3081" s="11"/>
      <c r="D3081" s="11"/>
      <c r="E3081" s="11"/>
      <c r="F3081" s="11"/>
      <c r="G3081" s="11"/>
      <c r="H3081" s="11"/>
      <c r="I3081" s="11"/>
      <c r="J3081" s="11"/>
      <c r="K3081" s="11"/>
      <c r="L3081" s="11"/>
      <c r="M3081" s="11"/>
      <c r="N3081" s="11"/>
      <c r="O3081" s="11"/>
      <c r="P3081" s="11"/>
      <c r="Q3081" s="11"/>
      <c r="R3081" s="11"/>
      <c r="S3081" s="11"/>
    </row>
    <row r="3082" spans="1:19" s="9" customFormat="1" x14ac:dyDescent="0.25">
      <c r="A3082" s="10"/>
      <c r="B3082" s="11"/>
      <c r="C3082" s="11"/>
      <c r="D3082" s="11"/>
      <c r="E3082" s="11"/>
      <c r="F3082" s="11"/>
      <c r="G3082" s="11"/>
      <c r="H3082" s="11"/>
      <c r="I3082" s="11"/>
      <c r="J3082" s="11"/>
      <c r="K3082" s="11"/>
      <c r="L3082" s="11"/>
      <c r="M3082" s="11"/>
      <c r="N3082" s="11"/>
      <c r="O3082" s="11"/>
      <c r="P3082" s="11"/>
      <c r="Q3082" s="11"/>
      <c r="R3082" s="11"/>
      <c r="S3082" s="11"/>
    </row>
    <row r="3083" spans="1:19" s="9" customFormat="1" x14ac:dyDescent="0.25">
      <c r="A3083" s="10"/>
      <c r="B3083" s="11"/>
      <c r="C3083" s="11"/>
      <c r="D3083" s="11"/>
      <c r="E3083" s="11"/>
      <c r="F3083" s="11"/>
      <c r="G3083" s="11"/>
      <c r="H3083" s="11"/>
      <c r="I3083" s="11"/>
      <c r="J3083" s="11"/>
      <c r="K3083" s="11"/>
      <c r="L3083" s="11"/>
      <c r="M3083" s="11"/>
      <c r="N3083" s="11"/>
      <c r="O3083" s="11"/>
      <c r="P3083" s="11"/>
      <c r="Q3083" s="11"/>
      <c r="R3083" s="11"/>
      <c r="S3083" s="11"/>
    </row>
    <row r="3084" spans="1:19" s="9" customFormat="1" x14ac:dyDescent="0.25">
      <c r="A3084" s="10"/>
      <c r="B3084" s="11"/>
      <c r="C3084" s="11"/>
      <c r="D3084" s="11"/>
      <c r="E3084" s="11"/>
      <c r="F3084" s="11"/>
      <c r="G3084" s="11"/>
      <c r="H3084" s="11"/>
      <c r="I3084" s="11"/>
      <c r="J3084" s="11"/>
      <c r="K3084" s="11"/>
      <c r="L3084" s="11"/>
      <c r="M3084" s="11"/>
      <c r="N3084" s="11"/>
      <c r="O3084" s="11"/>
      <c r="P3084" s="11"/>
      <c r="Q3084" s="11"/>
      <c r="R3084" s="11"/>
      <c r="S3084" s="11"/>
    </row>
    <row r="3085" spans="1:19" s="9" customFormat="1" x14ac:dyDescent="0.25">
      <c r="A3085" s="10"/>
      <c r="B3085" s="11"/>
      <c r="C3085" s="11"/>
      <c r="D3085" s="11"/>
      <c r="E3085" s="11"/>
      <c r="F3085" s="11"/>
      <c r="G3085" s="11"/>
      <c r="H3085" s="11"/>
      <c r="I3085" s="11"/>
      <c r="J3085" s="11"/>
      <c r="K3085" s="11"/>
      <c r="L3085" s="11"/>
      <c r="M3085" s="11"/>
      <c r="N3085" s="11"/>
      <c r="O3085" s="11"/>
      <c r="P3085" s="11"/>
      <c r="Q3085" s="11"/>
      <c r="R3085" s="11"/>
      <c r="S3085" s="11"/>
    </row>
    <row r="3086" spans="1:19" s="9" customFormat="1" x14ac:dyDescent="0.25">
      <c r="A3086" s="10"/>
      <c r="B3086" s="11"/>
      <c r="C3086" s="11"/>
      <c r="D3086" s="11"/>
      <c r="E3086" s="11"/>
      <c r="F3086" s="11"/>
      <c r="G3086" s="11"/>
      <c r="H3086" s="11"/>
      <c r="I3086" s="11"/>
      <c r="J3086" s="11"/>
      <c r="K3086" s="11"/>
      <c r="L3086" s="11"/>
      <c r="M3086" s="11"/>
      <c r="N3086" s="11"/>
      <c r="O3086" s="11"/>
      <c r="P3086" s="11"/>
      <c r="Q3086" s="11"/>
      <c r="R3086" s="11"/>
      <c r="S3086" s="11"/>
    </row>
    <row r="3087" spans="1:19" s="9" customFormat="1" x14ac:dyDescent="0.25">
      <c r="A3087" s="10"/>
      <c r="B3087" s="11"/>
      <c r="C3087" s="11"/>
      <c r="D3087" s="11"/>
      <c r="E3087" s="11"/>
      <c r="F3087" s="11"/>
      <c r="G3087" s="11"/>
      <c r="H3087" s="11"/>
      <c r="I3087" s="11"/>
      <c r="J3087" s="11"/>
      <c r="K3087" s="11"/>
      <c r="L3087" s="11"/>
      <c r="M3087" s="11"/>
      <c r="N3087" s="11"/>
      <c r="O3087" s="11"/>
      <c r="P3087" s="11"/>
      <c r="Q3087" s="11"/>
      <c r="R3087" s="11"/>
      <c r="S3087" s="11"/>
    </row>
    <row r="3088" spans="1:19" s="9" customFormat="1" x14ac:dyDescent="0.25">
      <c r="A3088" s="10"/>
      <c r="B3088" s="11"/>
      <c r="C3088" s="11"/>
      <c r="D3088" s="11"/>
      <c r="E3088" s="11"/>
      <c r="F3088" s="11"/>
      <c r="G3088" s="11"/>
      <c r="H3088" s="11"/>
      <c r="I3088" s="11"/>
      <c r="J3088" s="11"/>
      <c r="K3088" s="11"/>
      <c r="L3088" s="11"/>
      <c r="M3088" s="11"/>
      <c r="N3088" s="11"/>
      <c r="O3088" s="11"/>
      <c r="P3088" s="11"/>
      <c r="Q3088" s="11"/>
      <c r="R3088" s="11"/>
      <c r="S3088" s="11"/>
    </row>
    <row r="3089" spans="1:19" s="9" customFormat="1" x14ac:dyDescent="0.25">
      <c r="A3089" s="10"/>
      <c r="B3089" s="11"/>
      <c r="C3089" s="11"/>
      <c r="D3089" s="11"/>
      <c r="E3089" s="11"/>
      <c r="F3089" s="11"/>
      <c r="G3089" s="11"/>
      <c r="H3089" s="11"/>
      <c r="I3089" s="11"/>
      <c r="J3089" s="11"/>
      <c r="K3089" s="11"/>
      <c r="L3089" s="11"/>
      <c r="M3089" s="11"/>
      <c r="N3089" s="11"/>
      <c r="O3089" s="11"/>
      <c r="P3089" s="11"/>
      <c r="Q3089" s="11"/>
      <c r="R3089" s="11"/>
      <c r="S3089" s="11"/>
    </row>
    <row r="3090" spans="1:19" s="9" customFormat="1" x14ac:dyDescent="0.25">
      <c r="A3090" s="10"/>
      <c r="B3090" s="11"/>
      <c r="C3090" s="11"/>
      <c r="D3090" s="11"/>
      <c r="E3090" s="11"/>
      <c r="F3090" s="11"/>
      <c r="G3090" s="11"/>
      <c r="H3090" s="11"/>
      <c r="I3090" s="11"/>
      <c r="J3090" s="11"/>
      <c r="K3090" s="11"/>
      <c r="L3090" s="11"/>
      <c r="M3090" s="11"/>
      <c r="N3090" s="11"/>
      <c r="O3090" s="11"/>
      <c r="P3090" s="11"/>
      <c r="Q3090" s="11"/>
      <c r="R3090" s="11"/>
      <c r="S3090" s="11"/>
    </row>
    <row r="3091" spans="1:19" s="9" customFormat="1" x14ac:dyDescent="0.25">
      <c r="A3091" s="10"/>
      <c r="B3091" s="11"/>
      <c r="C3091" s="11"/>
      <c r="D3091" s="11"/>
      <c r="E3091" s="11"/>
      <c r="F3091" s="11"/>
      <c r="G3091" s="11"/>
      <c r="H3091" s="11"/>
      <c r="I3091" s="11"/>
      <c r="J3091" s="11"/>
      <c r="K3091" s="11"/>
      <c r="L3091" s="11"/>
      <c r="M3091" s="11"/>
      <c r="N3091" s="11"/>
      <c r="O3091" s="11"/>
      <c r="P3091" s="11"/>
      <c r="Q3091" s="11"/>
      <c r="R3091" s="11"/>
      <c r="S3091" s="11"/>
    </row>
    <row r="3092" spans="1:19" s="9" customFormat="1" x14ac:dyDescent="0.25">
      <c r="A3092" s="10"/>
      <c r="B3092" s="11"/>
      <c r="C3092" s="11"/>
      <c r="D3092" s="11"/>
      <c r="E3092" s="11"/>
      <c r="F3092" s="11"/>
      <c r="G3092" s="11"/>
      <c r="H3092" s="11"/>
      <c r="I3092" s="11"/>
      <c r="J3092" s="11"/>
      <c r="K3092" s="11"/>
      <c r="L3092" s="11"/>
      <c r="M3092" s="11"/>
      <c r="N3092" s="11"/>
      <c r="O3092" s="11"/>
      <c r="P3092" s="11"/>
      <c r="Q3092" s="11"/>
      <c r="R3092" s="11"/>
      <c r="S3092" s="11"/>
    </row>
    <row r="3093" spans="1:19" s="9" customFormat="1" x14ac:dyDescent="0.25">
      <c r="A3093" s="10"/>
      <c r="B3093" s="11"/>
      <c r="C3093" s="11"/>
      <c r="D3093" s="11"/>
      <c r="E3093" s="11"/>
      <c r="F3093" s="11"/>
      <c r="G3093" s="11"/>
      <c r="H3093" s="11"/>
      <c r="I3093" s="11"/>
      <c r="J3093" s="11"/>
      <c r="K3093" s="11"/>
      <c r="L3093" s="11"/>
      <c r="M3093" s="11"/>
      <c r="N3093" s="11"/>
      <c r="O3093" s="11"/>
      <c r="P3093" s="11"/>
      <c r="Q3093" s="11"/>
      <c r="R3093" s="11"/>
      <c r="S3093" s="11"/>
    </row>
    <row r="3094" spans="1:19" s="9" customFormat="1" x14ac:dyDescent="0.25">
      <c r="A3094" s="10"/>
      <c r="B3094" s="11"/>
      <c r="C3094" s="11"/>
      <c r="D3094" s="11"/>
      <c r="E3094" s="11"/>
      <c r="F3094" s="11"/>
      <c r="G3094" s="11"/>
      <c r="H3094" s="11"/>
      <c r="I3094" s="11"/>
      <c r="J3094" s="11"/>
      <c r="K3094" s="11"/>
      <c r="L3094" s="11"/>
      <c r="M3094" s="11"/>
      <c r="N3094" s="11"/>
      <c r="O3094" s="11"/>
      <c r="P3094" s="11"/>
      <c r="Q3094" s="11"/>
      <c r="R3094" s="11"/>
      <c r="S3094" s="11"/>
    </row>
    <row r="3095" spans="1:19" s="9" customFormat="1" x14ac:dyDescent="0.25">
      <c r="A3095" s="10"/>
      <c r="B3095" s="11"/>
      <c r="C3095" s="11"/>
      <c r="D3095" s="11"/>
      <c r="E3095" s="11"/>
      <c r="F3095" s="11"/>
      <c r="G3095" s="11"/>
      <c r="H3095" s="11"/>
      <c r="I3095" s="11"/>
      <c r="J3095" s="11"/>
      <c r="K3095" s="11"/>
      <c r="L3095" s="11"/>
      <c r="M3095" s="11"/>
      <c r="N3095" s="11"/>
      <c r="O3095" s="11"/>
      <c r="P3095" s="11"/>
      <c r="Q3095" s="11"/>
      <c r="R3095" s="11"/>
      <c r="S3095" s="11"/>
    </row>
    <row r="3096" spans="1:19" s="9" customFormat="1" x14ac:dyDescent="0.25">
      <c r="A3096" s="10"/>
      <c r="B3096" s="11"/>
      <c r="C3096" s="11"/>
      <c r="D3096" s="11"/>
      <c r="E3096" s="11"/>
      <c r="F3096" s="11"/>
      <c r="G3096" s="11"/>
      <c r="H3096" s="11"/>
      <c r="I3096" s="11"/>
      <c r="J3096" s="11"/>
      <c r="K3096" s="11"/>
      <c r="L3096" s="11"/>
      <c r="M3096" s="11"/>
      <c r="N3096" s="11"/>
      <c r="O3096" s="11"/>
      <c r="P3096" s="11"/>
      <c r="Q3096" s="11"/>
      <c r="R3096" s="11"/>
      <c r="S3096" s="11"/>
    </row>
    <row r="3097" spans="1:19" s="9" customFormat="1" x14ac:dyDescent="0.25">
      <c r="A3097" s="10"/>
      <c r="B3097" s="11"/>
      <c r="C3097" s="11"/>
      <c r="D3097" s="11"/>
      <c r="E3097" s="11"/>
      <c r="F3097" s="11"/>
      <c r="G3097" s="11"/>
      <c r="H3097" s="11"/>
      <c r="I3097" s="11"/>
      <c r="J3097" s="11"/>
      <c r="K3097" s="11"/>
      <c r="L3097" s="11"/>
      <c r="M3097" s="11"/>
      <c r="N3097" s="11"/>
      <c r="O3097" s="11"/>
      <c r="P3097" s="11"/>
      <c r="Q3097" s="11"/>
      <c r="R3097" s="11"/>
      <c r="S3097" s="11"/>
    </row>
    <row r="3098" spans="1:19" s="9" customFormat="1" x14ac:dyDescent="0.25">
      <c r="A3098" s="10"/>
      <c r="B3098" s="11"/>
      <c r="C3098" s="11"/>
      <c r="D3098" s="11"/>
      <c r="E3098" s="11"/>
      <c r="F3098" s="11"/>
      <c r="G3098" s="11"/>
      <c r="H3098" s="11"/>
      <c r="I3098" s="11"/>
      <c r="J3098" s="11"/>
      <c r="K3098" s="11"/>
      <c r="L3098" s="11"/>
      <c r="M3098" s="11"/>
      <c r="N3098" s="11"/>
      <c r="O3098" s="11"/>
      <c r="P3098" s="11"/>
      <c r="Q3098" s="11"/>
      <c r="R3098" s="11"/>
      <c r="S3098" s="11"/>
    </row>
    <row r="3099" spans="1:19" s="9" customFormat="1" x14ac:dyDescent="0.25">
      <c r="A3099" s="10"/>
      <c r="B3099" s="11"/>
      <c r="C3099" s="11"/>
      <c r="D3099" s="11"/>
      <c r="E3099" s="11"/>
      <c r="F3099" s="11"/>
      <c r="G3099" s="11"/>
      <c r="H3099" s="11"/>
      <c r="I3099" s="11"/>
      <c r="J3099" s="11"/>
      <c r="K3099" s="11"/>
      <c r="L3099" s="11"/>
      <c r="M3099" s="11"/>
      <c r="N3099" s="11"/>
      <c r="O3099" s="11"/>
      <c r="P3099" s="11"/>
      <c r="Q3099" s="11"/>
      <c r="R3099" s="11"/>
      <c r="S3099" s="11"/>
    </row>
    <row r="3100" spans="1:19" s="9" customFormat="1" x14ac:dyDescent="0.25">
      <c r="A3100" s="10"/>
      <c r="B3100" s="11"/>
      <c r="C3100" s="11"/>
      <c r="D3100" s="11"/>
      <c r="E3100" s="11"/>
      <c r="F3100" s="11"/>
      <c r="G3100" s="11"/>
      <c r="H3100" s="11"/>
      <c r="I3100" s="11"/>
      <c r="J3100" s="11"/>
      <c r="K3100" s="11"/>
      <c r="L3100" s="11"/>
      <c r="M3100" s="11"/>
      <c r="N3100" s="11"/>
      <c r="O3100" s="11"/>
      <c r="P3100" s="11"/>
      <c r="Q3100" s="11"/>
      <c r="R3100" s="11"/>
      <c r="S3100" s="11"/>
    </row>
    <row r="3101" spans="1:19" s="9" customFormat="1" x14ac:dyDescent="0.25">
      <c r="A3101" s="10"/>
      <c r="B3101" s="11"/>
      <c r="C3101" s="11"/>
      <c r="D3101" s="11"/>
      <c r="E3101" s="11"/>
      <c r="F3101" s="11"/>
      <c r="G3101" s="11"/>
      <c r="H3101" s="11"/>
      <c r="I3101" s="11"/>
      <c r="J3101" s="11"/>
      <c r="K3101" s="11"/>
      <c r="L3101" s="11"/>
      <c r="M3101" s="11"/>
      <c r="N3101" s="11"/>
      <c r="O3101" s="11"/>
      <c r="P3101" s="11"/>
      <c r="Q3101" s="11"/>
      <c r="R3101" s="11"/>
      <c r="S3101" s="11"/>
    </row>
    <row r="3102" spans="1:19" s="9" customFormat="1" x14ac:dyDescent="0.25">
      <c r="A3102" s="10"/>
      <c r="B3102" s="11"/>
      <c r="C3102" s="11"/>
      <c r="D3102" s="11"/>
      <c r="E3102" s="11"/>
      <c r="F3102" s="11"/>
      <c r="G3102" s="11"/>
      <c r="H3102" s="11"/>
      <c r="I3102" s="11"/>
      <c r="J3102" s="11"/>
      <c r="K3102" s="11"/>
      <c r="L3102" s="11"/>
      <c r="M3102" s="11"/>
      <c r="N3102" s="11"/>
      <c r="O3102" s="11"/>
      <c r="P3102" s="11"/>
      <c r="Q3102" s="11"/>
      <c r="R3102" s="11"/>
      <c r="S3102" s="11"/>
    </row>
    <row r="3103" spans="1:19" s="9" customFormat="1" x14ac:dyDescent="0.25">
      <c r="A3103" s="10"/>
      <c r="B3103" s="11"/>
      <c r="C3103" s="11"/>
      <c r="D3103" s="11"/>
      <c r="E3103" s="11"/>
      <c r="F3103" s="11"/>
      <c r="G3103" s="11"/>
      <c r="H3103" s="11"/>
      <c r="I3103" s="11"/>
      <c r="J3103" s="11"/>
      <c r="K3103" s="11"/>
      <c r="L3103" s="11"/>
      <c r="M3103" s="11"/>
      <c r="N3103" s="11"/>
      <c r="O3103" s="11"/>
      <c r="P3103" s="11"/>
      <c r="Q3103" s="11"/>
      <c r="R3103" s="11"/>
      <c r="S3103" s="11"/>
    </row>
    <row r="3104" spans="1:19" s="9" customFormat="1" x14ac:dyDescent="0.25">
      <c r="A3104" s="10"/>
      <c r="B3104" s="11"/>
      <c r="C3104" s="11"/>
      <c r="D3104" s="11"/>
      <c r="E3104" s="11"/>
      <c r="F3104" s="11"/>
      <c r="G3104" s="11"/>
      <c r="H3104" s="11"/>
      <c r="I3104" s="11"/>
      <c r="J3104" s="11"/>
      <c r="K3104" s="11"/>
      <c r="L3104" s="11"/>
      <c r="M3104" s="11"/>
      <c r="N3104" s="11"/>
      <c r="O3104" s="11"/>
      <c r="P3104" s="11"/>
      <c r="Q3104" s="11"/>
      <c r="R3104" s="11"/>
      <c r="S3104" s="11"/>
    </row>
    <row r="3105" spans="1:19" s="9" customFormat="1" x14ac:dyDescent="0.25">
      <c r="A3105" s="10"/>
      <c r="B3105" s="11"/>
      <c r="C3105" s="11"/>
      <c r="D3105" s="11"/>
      <c r="E3105" s="11"/>
      <c r="F3105" s="11"/>
      <c r="G3105" s="11"/>
      <c r="H3105" s="11"/>
      <c r="I3105" s="11"/>
      <c r="J3105" s="11"/>
      <c r="K3105" s="11"/>
      <c r="L3105" s="11"/>
      <c r="M3105" s="11"/>
      <c r="N3105" s="11"/>
      <c r="O3105" s="11"/>
      <c r="P3105" s="11"/>
      <c r="Q3105" s="11"/>
      <c r="R3105" s="11"/>
      <c r="S3105" s="11"/>
    </row>
    <row r="3106" spans="1:19" s="9" customFormat="1" x14ac:dyDescent="0.25">
      <c r="A3106" s="10"/>
      <c r="B3106" s="11"/>
      <c r="C3106" s="11"/>
      <c r="D3106" s="11"/>
      <c r="E3106" s="11"/>
      <c r="F3106" s="11"/>
      <c r="G3106" s="11"/>
      <c r="H3106" s="11"/>
      <c r="I3106" s="11"/>
      <c r="J3106" s="11"/>
      <c r="K3106" s="11"/>
      <c r="L3106" s="11"/>
      <c r="M3106" s="11"/>
      <c r="N3106" s="11"/>
      <c r="O3106" s="11"/>
      <c r="P3106" s="11"/>
      <c r="Q3106" s="11"/>
      <c r="R3106" s="11"/>
      <c r="S3106" s="11"/>
    </row>
    <row r="3107" spans="1:19" s="9" customFormat="1" x14ac:dyDescent="0.25">
      <c r="A3107" s="10"/>
      <c r="B3107" s="11"/>
      <c r="C3107" s="11"/>
      <c r="D3107" s="11"/>
      <c r="E3107" s="11"/>
      <c r="F3107" s="11"/>
      <c r="G3107" s="11"/>
      <c r="H3107" s="11"/>
      <c r="I3107" s="11"/>
      <c r="J3107" s="11"/>
      <c r="K3107" s="11"/>
      <c r="L3107" s="11"/>
      <c r="M3107" s="11"/>
      <c r="N3107" s="11"/>
      <c r="O3107" s="11"/>
      <c r="P3107" s="11"/>
      <c r="Q3107" s="11"/>
      <c r="R3107" s="11"/>
      <c r="S3107" s="11"/>
    </row>
    <row r="3108" spans="1:19" s="9" customFormat="1" x14ac:dyDescent="0.25">
      <c r="A3108" s="10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  <c r="O3108" s="11"/>
      <c r="P3108" s="11"/>
      <c r="Q3108" s="11"/>
      <c r="R3108" s="11"/>
      <c r="S3108" s="11"/>
    </row>
    <row r="3109" spans="1:19" s="9" customFormat="1" x14ac:dyDescent="0.25">
      <c r="A3109" s="10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  <c r="O3109" s="11"/>
      <c r="P3109" s="11"/>
      <c r="Q3109" s="11"/>
      <c r="R3109" s="11"/>
      <c r="S3109" s="11"/>
    </row>
    <row r="3110" spans="1:19" s="9" customFormat="1" x14ac:dyDescent="0.25">
      <c r="A3110" s="10"/>
      <c r="B3110" s="11"/>
      <c r="C3110" s="11"/>
      <c r="D3110" s="11"/>
      <c r="E3110" s="11"/>
      <c r="F3110" s="11"/>
      <c r="G3110" s="11"/>
      <c r="H3110" s="11"/>
      <c r="I3110" s="11"/>
      <c r="J3110" s="11"/>
      <c r="K3110" s="11"/>
      <c r="L3110" s="11"/>
      <c r="M3110" s="11"/>
      <c r="N3110" s="11"/>
      <c r="O3110" s="11"/>
      <c r="P3110" s="11"/>
      <c r="Q3110" s="11"/>
      <c r="R3110" s="11"/>
      <c r="S3110" s="11"/>
    </row>
    <row r="3111" spans="1:19" s="9" customFormat="1" x14ac:dyDescent="0.25">
      <c r="A3111" s="10"/>
      <c r="B3111" s="11"/>
      <c r="C3111" s="11"/>
      <c r="D3111" s="11"/>
      <c r="E3111" s="11"/>
      <c r="F3111" s="11"/>
      <c r="G3111" s="11"/>
      <c r="H3111" s="11"/>
      <c r="I3111" s="11"/>
      <c r="J3111" s="11"/>
      <c r="K3111" s="11"/>
      <c r="L3111" s="11"/>
      <c r="M3111" s="11"/>
      <c r="N3111" s="11"/>
      <c r="O3111" s="11"/>
      <c r="P3111" s="11"/>
      <c r="Q3111" s="11"/>
      <c r="R3111" s="11"/>
      <c r="S3111" s="11"/>
    </row>
    <row r="3112" spans="1:19" s="9" customFormat="1" x14ac:dyDescent="0.25">
      <c r="A3112" s="10"/>
      <c r="B3112" s="11"/>
      <c r="C3112" s="11"/>
      <c r="D3112" s="11"/>
      <c r="E3112" s="11"/>
      <c r="F3112" s="11"/>
      <c r="G3112" s="11"/>
      <c r="H3112" s="11"/>
      <c r="I3112" s="11"/>
      <c r="J3112" s="11"/>
      <c r="K3112" s="11"/>
      <c r="L3112" s="11"/>
      <c r="M3112" s="11"/>
      <c r="N3112" s="11"/>
      <c r="O3112" s="11"/>
      <c r="P3112" s="11"/>
      <c r="Q3112" s="11"/>
      <c r="R3112" s="11"/>
      <c r="S3112" s="11"/>
    </row>
    <row r="3113" spans="1:19" s="9" customFormat="1" x14ac:dyDescent="0.25">
      <c r="A3113" s="10"/>
      <c r="B3113" s="11"/>
      <c r="C3113" s="11"/>
      <c r="D3113" s="11"/>
      <c r="E3113" s="11"/>
      <c r="F3113" s="11"/>
      <c r="G3113" s="11"/>
      <c r="H3113" s="11"/>
      <c r="I3113" s="11"/>
      <c r="J3113" s="11"/>
      <c r="K3113" s="11"/>
      <c r="L3113" s="11"/>
      <c r="M3113" s="11"/>
      <c r="N3113" s="11"/>
      <c r="O3113" s="11"/>
      <c r="P3113" s="11"/>
      <c r="Q3113" s="11"/>
      <c r="R3113" s="11"/>
      <c r="S3113" s="11"/>
    </row>
    <row r="3114" spans="1:19" s="9" customFormat="1" x14ac:dyDescent="0.25">
      <c r="A3114" s="10"/>
      <c r="B3114" s="11"/>
      <c r="C3114" s="11"/>
      <c r="D3114" s="11"/>
      <c r="E3114" s="11"/>
      <c r="F3114" s="11"/>
      <c r="G3114" s="11"/>
      <c r="H3114" s="11"/>
      <c r="I3114" s="11"/>
      <c r="J3114" s="11"/>
      <c r="K3114" s="11"/>
      <c r="L3114" s="11"/>
      <c r="M3114" s="11"/>
      <c r="N3114" s="11"/>
      <c r="O3114" s="11"/>
      <c r="P3114" s="11"/>
      <c r="Q3114" s="11"/>
      <c r="R3114" s="11"/>
      <c r="S3114" s="11"/>
    </row>
    <row r="3115" spans="1:19" s="9" customFormat="1" x14ac:dyDescent="0.25">
      <c r="A3115" s="10"/>
      <c r="B3115" s="11"/>
      <c r="C3115" s="11"/>
      <c r="D3115" s="11"/>
      <c r="E3115" s="11"/>
      <c r="F3115" s="11"/>
      <c r="G3115" s="11"/>
      <c r="H3115" s="11"/>
      <c r="I3115" s="11"/>
      <c r="J3115" s="11"/>
      <c r="K3115" s="11"/>
      <c r="L3115" s="11"/>
      <c r="M3115" s="11"/>
      <c r="N3115" s="11"/>
      <c r="O3115" s="11"/>
      <c r="P3115" s="11"/>
      <c r="Q3115" s="11"/>
      <c r="R3115" s="11"/>
      <c r="S3115" s="11"/>
    </row>
    <row r="3116" spans="1:19" s="9" customFormat="1" x14ac:dyDescent="0.25">
      <c r="A3116" s="10"/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  <c r="L3116" s="11"/>
      <c r="M3116" s="11"/>
      <c r="N3116" s="11"/>
      <c r="O3116" s="11"/>
      <c r="P3116" s="11"/>
      <c r="Q3116" s="11"/>
      <c r="R3116" s="11"/>
      <c r="S3116" s="11"/>
    </row>
    <row r="3117" spans="1:19" s="9" customFormat="1" x14ac:dyDescent="0.25">
      <c r="A3117" s="10"/>
      <c r="B3117" s="11"/>
      <c r="C3117" s="11"/>
      <c r="D3117" s="11"/>
      <c r="E3117" s="11"/>
      <c r="F3117" s="11"/>
      <c r="G3117" s="11"/>
      <c r="H3117" s="11"/>
      <c r="I3117" s="11"/>
      <c r="J3117" s="11"/>
      <c r="K3117" s="11"/>
      <c r="L3117" s="11"/>
      <c r="M3117" s="11"/>
      <c r="N3117" s="11"/>
      <c r="O3117" s="11"/>
      <c r="P3117" s="11"/>
      <c r="Q3117" s="11"/>
      <c r="R3117" s="11"/>
      <c r="S3117" s="11"/>
    </row>
    <row r="3118" spans="1:19" s="9" customFormat="1" x14ac:dyDescent="0.25">
      <c r="A3118" s="10"/>
      <c r="B3118" s="11"/>
      <c r="C3118" s="11"/>
      <c r="D3118" s="11"/>
      <c r="E3118" s="11"/>
      <c r="F3118" s="11"/>
      <c r="G3118" s="11"/>
      <c r="H3118" s="11"/>
      <c r="I3118" s="11"/>
      <c r="J3118" s="11"/>
      <c r="K3118" s="11"/>
      <c r="L3118" s="11"/>
      <c r="M3118" s="11"/>
      <c r="N3118" s="11"/>
      <c r="O3118" s="11"/>
      <c r="P3118" s="11"/>
      <c r="Q3118" s="11"/>
      <c r="R3118" s="11"/>
      <c r="S3118" s="11"/>
    </row>
    <row r="3119" spans="1:19" s="9" customFormat="1" x14ac:dyDescent="0.25">
      <c r="A3119" s="10"/>
      <c r="B3119" s="11"/>
      <c r="C3119" s="11"/>
      <c r="D3119" s="11"/>
      <c r="E3119" s="11"/>
      <c r="F3119" s="11"/>
      <c r="G3119" s="11"/>
      <c r="H3119" s="11"/>
      <c r="I3119" s="11"/>
      <c r="J3119" s="11"/>
      <c r="K3119" s="11"/>
      <c r="L3119" s="11"/>
      <c r="M3119" s="11"/>
      <c r="N3119" s="11"/>
      <c r="O3119" s="11"/>
      <c r="P3119" s="11"/>
      <c r="Q3119" s="11"/>
      <c r="R3119" s="11"/>
      <c r="S3119" s="11"/>
    </row>
    <row r="3120" spans="1:19" s="9" customFormat="1" x14ac:dyDescent="0.25">
      <c r="A3120" s="10"/>
      <c r="B3120" s="11"/>
      <c r="C3120" s="11"/>
      <c r="D3120" s="11"/>
      <c r="E3120" s="11"/>
      <c r="F3120" s="11"/>
      <c r="G3120" s="11"/>
      <c r="H3120" s="11"/>
      <c r="I3120" s="11"/>
      <c r="J3120" s="11"/>
      <c r="K3120" s="11"/>
      <c r="L3120" s="11"/>
      <c r="M3120" s="11"/>
      <c r="N3120" s="11"/>
      <c r="O3120" s="11"/>
      <c r="P3120" s="11"/>
      <c r="Q3120" s="11"/>
      <c r="R3120" s="11"/>
      <c r="S3120" s="11"/>
    </row>
    <row r="3121" spans="1:19" s="9" customFormat="1" x14ac:dyDescent="0.25">
      <c r="A3121" s="10"/>
      <c r="B3121" s="11"/>
      <c r="C3121" s="11"/>
      <c r="D3121" s="11"/>
      <c r="E3121" s="11"/>
      <c r="F3121" s="11"/>
      <c r="G3121" s="11"/>
      <c r="H3121" s="11"/>
      <c r="I3121" s="11"/>
      <c r="J3121" s="11"/>
      <c r="K3121" s="11"/>
      <c r="L3121" s="11"/>
      <c r="M3121" s="11"/>
      <c r="N3121" s="11"/>
      <c r="O3121" s="11"/>
      <c r="P3121" s="11"/>
      <c r="Q3121" s="11"/>
      <c r="R3121" s="11"/>
      <c r="S3121" s="11"/>
    </row>
    <row r="3122" spans="1:19" s="9" customFormat="1" x14ac:dyDescent="0.25">
      <c r="A3122" s="10"/>
      <c r="B3122" s="11"/>
      <c r="C3122" s="11"/>
      <c r="D3122" s="11"/>
      <c r="E3122" s="11"/>
      <c r="F3122" s="11"/>
      <c r="G3122" s="11"/>
      <c r="H3122" s="11"/>
      <c r="I3122" s="11"/>
      <c r="J3122" s="11"/>
      <c r="K3122" s="11"/>
      <c r="L3122" s="11"/>
      <c r="M3122" s="11"/>
      <c r="N3122" s="11"/>
      <c r="O3122" s="11"/>
      <c r="P3122" s="11"/>
      <c r="Q3122" s="11"/>
      <c r="R3122" s="11"/>
      <c r="S3122" s="11"/>
    </row>
    <row r="3123" spans="1:19" s="9" customFormat="1" x14ac:dyDescent="0.25">
      <c r="A3123" s="10"/>
      <c r="B3123" s="11"/>
      <c r="C3123" s="11"/>
      <c r="D3123" s="11"/>
      <c r="E3123" s="11"/>
      <c r="F3123" s="11"/>
      <c r="G3123" s="11"/>
      <c r="H3123" s="11"/>
      <c r="I3123" s="11"/>
      <c r="J3123" s="11"/>
      <c r="K3123" s="11"/>
      <c r="L3123" s="11"/>
      <c r="M3123" s="11"/>
      <c r="N3123" s="11"/>
      <c r="O3123" s="11"/>
      <c r="P3123" s="11"/>
      <c r="Q3123" s="11"/>
      <c r="R3123" s="11"/>
      <c r="S3123" s="11"/>
    </row>
    <row r="3124" spans="1:19" s="9" customFormat="1" x14ac:dyDescent="0.25">
      <c r="A3124" s="10"/>
      <c r="B3124" s="11"/>
      <c r="C3124" s="11"/>
      <c r="D3124" s="11"/>
      <c r="E3124" s="11"/>
      <c r="F3124" s="11"/>
      <c r="G3124" s="11"/>
      <c r="H3124" s="11"/>
      <c r="I3124" s="11"/>
      <c r="J3124" s="11"/>
      <c r="K3124" s="11"/>
      <c r="L3124" s="11"/>
      <c r="M3124" s="11"/>
      <c r="N3124" s="11"/>
      <c r="O3124" s="11"/>
      <c r="P3124" s="11"/>
      <c r="Q3124" s="11"/>
      <c r="R3124" s="11"/>
      <c r="S3124" s="11"/>
    </row>
    <row r="3125" spans="1:19" s="9" customFormat="1" x14ac:dyDescent="0.25">
      <c r="A3125" s="10"/>
      <c r="B3125" s="11"/>
      <c r="C3125" s="11"/>
      <c r="D3125" s="11"/>
      <c r="E3125" s="11"/>
      <c r="F3125" s="11"/>
      <c r="G3125" s="11"/>
      <c r="H3125" s="11"/>
      <c r="I3125" s="11"/>
      <c r="J3125" s="11"/>
      <c r="K3125" s="11"/>
      <c r="L3125" s="11"/>
      <c r="M3125" s="11"/>
      <c r="N3125" s="11"/>
      <c r="O3125" s="11"/>
      <c r="P3125" s="11"/>
      <c r="Q3125" s="11"/>
      <c r="R3125" s="11"/>
      <c r="S3125" s="11"/>
    </row>
    <row r="3126" spans="1:19" s="9" customFormat="1" x14ac:dyDescent="0.25">
      <c r="A3126" s="10"/>
      <c r="B3126" s="11"/>
      <c r="C3126" s="11"/>
      <c r="D3126" s="11"/>
      <c r="E3126" s="11"/>
      <c r="F3126" s="11"/>
      <c r="G3126" s="11"/>
      <c r="H3126" s="11"/>
      <c r="I3126" s="11"/>
      <c r="J3126" s="11"/>
      <c r="K3126" s="11"/>
      <c r="L3126" s="11"/>
      <c r="M3126" s="11"/>
      <c r="N3126" s="11"/>
      <c r="O3126" s="11"/>
      <c r="P3126" s="11"/>
      <c r="Q3126" s="11"/>
      <c r="R3126" s="11"/>
      <c r="S3126" s="11"/>
    </row>
    <row r="3127" spans="1:19" s="9" customFormat="1" x14ac:dyDescent="0.25">
      <c r="A3127" s="10"/>
      <c r="B3127" s="11"/>
      <c r="C3127" s="11"/>
      <c r="D3127" s="11"/>
      <c r="E3127" s="11"/>
      <c r="F3127" s="11"/>
      <c r="G3127" s="11"/>
      <c r="H3127" s="11"/>
      <c r="I3127" s="11"/>
      <c r="J3127" s="11"/>
      <c r="K3127" s="11"/>
      <c r="L3127" s="11"/>
      <c r="M3127" s="11"/>
      <c r="N3127" s="11"/>
      <c r="O3127" s="11"/>
      <c r="P3127" s="11"/>
      <c r="Q3127" s="11"/>
      <c r="R3127" s="11"/>
      <c r="S3127" s="11"/>
    </row>
    <row r="3128" spans="1:19" s="9" customFormat="1" x14ac:dyDescent="0.25">
      <c r="A3128" s="10"/>
      <c r="B3128" s="11"/>
      <c r="C3128" s="11"/>
      <c r="D3128" s="11"/>
      <c r="E3128" s="11"/>
      <c r="F3128" s="11"/>
      <c r="G3128" s="11"/>
      <c r="H3128" s="11"/>
      <c r="I3128" s="11"/>
      <c r="J3128" s="11"/>
      <c r="K3128" s="11"/>
      <c r="L3128" s="11"/>
      <c r="M3128" s="11"/>
      <c r="N3128" s="11"/>
      <c r="O3128" s="11"/>
      <c r="P3128" s="11"/>
      <c r="Q3128" s="11"/>
      <c r="R3128" s="11"/>
      <c r="S3128" s="11"/>
    </row>
    <row r="3129" spans="1:19" s="9" customFormat="1" x14ac:dyDescent="0.25">
      <c r="A3129" s="10"/>
      <c r="B3129" s="11"/>
      <c r="C3129" s="11"/>
      <c r="D3129" s="11"/>
      <c r="E3129" s="11"/>
      <c r="F3129" s="11"/>
      <c r="G3129" s="11"/>
      <c r="H3129" s="11"/>
      <c r="I3129" s="11"/>
      <c r="J3129" s="11"/>
      <c r="K3129" s="11"/>
      <c r="L3129" s="11"/>
      <c r="M3129" s="11"/>
      <c r="N3129" s="11"/>
      <c r="O3129" s="11"/>
      <c r="P3129" s="11"/>
      <c r="Q3129" s="11"/>
      <c r="R3129" s="11"/>
      <c r="S3129" s="11"/>
    </row>
    <row r="3130" spans="1:19" s="9" customFormat="1" x14ac:dyDescent="0.25">
      <c r="A3130" s="10"/>
      <c r="B3130" s="11"/>
      <c r="C3130" s="11"/>
      <c r="D3130" s="11"/>
      <c r="E3130" s="11"/>
      <c r="F3130" s="11"/>
      <c r="G3130" s="11"/>
      <c r="H3130" s="11"/>
      <c r="I3130" s="11"/>
      <c r="J3130" s="11"/>
      <c r="K3130" s="11"/>
      <c r="L3130" s="11"/>
      <c r="M3130" s="11"/>
      <c r="N3130" s="11"/>
      <c r="O3130" s="11"/>
      <c r="P3130" s="11"/>
      <c r="Q3130" s="11"/>
      <c r="R3130" s="11"/>
      <c r="S3130" s="11"/>
    </row>
    <row r="3131" spans="1:19" s="9" customFormat="1" x14ac:dyDescent="0.25">
      <c r="A3131" s="10"/>
      <c r="B3131" s="11"/>
      <c r="C3131" s="11"/>
      <c r="D3131" s="11"/>
      <c r="E3131" s="11"/>
      <c r="F3131" s="11"/>
      <c r="G3131" s="11"/>
      <c r="H3131" s="11"/>
      <c r="I3131" s="11"/>
      <c r="J3131" s="11"/>
      <c r="K3131" s="11"/>
      <c r="L3131" s="11"/>
      <c r="M3131" s="11"/>
      <c r="N3131" s="11"/>
      <c r="O3131" s="11"/>
      <c r="P3131" s="11"/>
      <c r="Q3131" s="11"/>
      <c r="R3131" s="11"/>
      <c r="S3131" s="11"/>
    </row>
    <row r="3132" spans="1:19" s="9" customFormat="1" x14ac:dyDescent="0.25">
      <c r="A3132" s="10"/>
      <c r="B3132" s="11"/>
      <c r="C3132" s="11"/>
      <c r="D3132" s="11"/>
      <c r="E3132" s="11"/>
      <c r="F3132" s="11"/>
      <c r="G3132" s="11"/>
      <c r="H3132" s="11"/>
      <c r="I3132" s="11"/>
      <c r="J3132" s="11"/>
      <c r="K3132" s="11"/>
      <c r="L3132" s="11"/>
      <c r="M3132" s="11"/>
      <c r="N3132" s="11"/>
      <c r="O3132" s="11"/>
      <c r="P3132" s="11"/>
      <c r="Q3132" s="11"/>
      <c r="R3132" s="11"/>
      <c r="S3132" s="11"/>
    </row>
    <row r="3133" spans="1:19" s="9" customFormat="1" x14ac:dyDescent="0.25">
      <c r="A3133" s="10"/>
      <c r="B3133" s="11"/>
      <c r="C3133" s="11"/>
      <c r="D3133" s="11"/>
      <c r="E3133" s="11"/>
      <c r="F3133" s="11"/>
      <c r="G3133" s="11"/>
      <c r="H3133" s="11"/>
      <c r="I3133" s="11"/>
      <c r="J3133" s="11"/>
      <c r="K3133" s="11"/>
      <c r="L3133" s="11"/>
      <c r="M3133" s="11"/>
      <c r="N3133" s="11"/>
      <c r="O3133" s="11"/>
      <c r="P3133" s="11"/>
      <c r="Q3133" s="11"/>
      <c r="R3133" s="11"/>
      <c r="S3133" s="11"/>
    </row>
    <row r="3134" spans="1:19" s="9" customFormat="1" x14ac:dyDescent="0.25">
      <c r="A3134" s="10"/>
      <c r="B3134" s="11"/>
      <c r="C3134" s="11"/>
      <c r="D3134" s="11"/>
      <c r="E3134" s="11"/>
      <c r="F3134" s="11"/>
      <c r="G3134" s="11"/>
      <c r="H3134" s="11"/>
      <c r="I3134" s="11"/>
      <c r="J3134" s="11"/>
      <c r="K3134" s="11"/>
      <c r="L3134" s="11"/>
      <c r="M3134" s="11"/>
      <c r="N3134" s="11"/>
      <c r="O3134" s="11"/>
      <c r="P3134" s="11"/>
      <c r="Q3134" s="11"/>
      <c r="R3134" s="11"/>
      <c r="S3134" s="11"/>
    </row>
    <row r="3135" spans="1:19" s="9" customFormat="1" x14ac:dyDescent="0.25">
      <c r="A3135" s="10"/>
      <c r="B3135" s="11"/>
      <c r="C3135" s="11"/>
      <c r="D3135" s="11"/>
      <c r="E3135" s="11"/>
      <c r="F3135" s="11"/>
      <c r="G3135" s="11"/>
      <c r="H3135" s="11"/>
      <c r="I3135" s="11"/>
      <c r="J3135" s="11"/>
      <c r="K3135" s="11"/>
      <c r="L3135" s="11"/>
      <c r="M3135" s="11"/>
      <c r="N3135" s="11"/>
      <c r="O3135" s="11"/>
      <c r="P3135" s="11"/>
      <c r="Q3135" s="11"/>
      <c r="R3135" s="11"/>
      <c r="S3135" s="11"/>
    </row>
    <row r="3136" spans="1:19" s="9" customFormat="1" x14ac:dyDescent="0.25">
      <c r="A3136" s="10"/>
      <c r="B3136" s="11"/>
      <c r="C3136" s="11"/>
      <c r="D3136" s="11"/>
      <c r="E3136" s="11"/>
      <c r="F3136" s="11"/>
      <c r="G3136" s="11"/>
      <c r="H3136" s="11"/>
      <c r="I3136" s="11"/>
      <c r="J3136" s="11"/>
      <c r="K3136" s="11"/>
      <c r="L3136" s="11"/>
      <c r="M3136" s="11"/>
      <c r="N3136" s="11"/>
      <c r="O3136" s="11"/>
      <c r="P3136" s="11"/>
      <c r="Q3136" s="11"/>
      <c r="R3136" s="11"/>
      <c r="S3136" s="11"/>
    </row>
    <row r="3137" spans="1:19" s="9" customFormat="1" x14ac:dyDescent="0.25">
      <c r="A3137" s="10"/>
      <c r="B3137" s="11"/>
      <c r="C3137" s="11"/>
      <c r="D3137" s="11"/>
      <c r="E3137" s="11"/>
      <c r="F3137" s="11"/>
      <c r="G3137" s="11"/>
      <c r="H3137" s="11"/>
      <c r="I3137" s="11"/>
      <c r="J3137" s="11"/>
      <c r="K3137" s="11"/>
      <c r="L3137" s="11"/>
      <c r="M3137" s="11"/>
      <c r="N3137" s="11"/>
      <c r="O3137" s="11"/>
      <c r="P3137" s="11"/>
      <c r="Q3137" s="11"/>
      <c r="R3137" s="11"/>
      <c r="S3137" s="11"/>
    </row>
    <row r="3138" spans="1:19" s="9" customFormat="1" x14ac:dyDescent="0.25">
      <c r="A3138" s="10"/>
      <c r="B3138" s="11"/>
      <c r="C3138" s="11"/>
      <c r="D3138" s="11"/>
      <c r="E3138" s="11"/>
      <c r="F3138" s="11"/>
      <c r="G3138" s="11"/>
      <c r="H3138" s="11"/>
      <c r="I3138" s="11"/>
      <c r="J3138" s="11"/>
      <c r="K3138" s="11"/>
      <c r="L3138" s="11"/>
      <c r="M3138" s="11"/>
      <c r="N3138" s="11"/>
      <c r="O3138" s="11"/>
      <c r="P3138" s="11"/>
      <c r="Q3138" s="11"/>
      <c r="R3138" s="11"/>
      <c r="S3138" s="11"/>
    </row>
    <row r="3139" spans="1:19" s="9" customFormat="1" x14ac:dyDescent="0.25">
      <c r="A3139" s="10"/>
      <c r="B3139" s="11"/>
      <c r="C3139" s="11"/>
      <c r="D3139" s="11"/>
      <c r="E3139" s="11"/>
      <c r="F3139" s="11"/>
      <c r="G3139" s="11"/>
      <c r="H3139" s="11"/>
      <c r="I3139" s="11"/>
      <c r="J3139" s="11"/>
      <c r="K3139" s="11"/>
      <c r="L3139" s="11"/>
      <c r="M3139" s="11"/>
      <c r="N3139" s="11"/>
      <c r="O3139" s="11"/>
      <c r="P3139" s="11"/>
      <c r="Q3139" s="11"/>
      <c r="R3139" s="11"/>
      <c r="S3139" s="11"/>
    </row>
    <row r="3140" spans="1:19" s="9" customFormat="1" x14ac:dyDescent="0.25">
      <c r="A3140" s="10"/>
      <c r="B3140" s="11"/>
      <c r="C3140" s="11"/>
      <c r="D3140" s="11"/>
      <c r="E3140" s="11"/>
      <c r="F3140" s="11"/>
      <c r="G3140" s="11"/>
      <c r="H3140" s="11"/>
      <c r="I3140" s="11"/>
      <c r="J3140" s="11"/>
      <c r="K3140" s="11"/>
      <c r="L3140" s="11"/>
      <c r="M3140" s="11"/>
      <c r="N3140" s="11"/>
      <c r="O3140" s="11"/>
      <c r="P3140" s="11"/>
      <c r="Q3140" s="11"/>
      <c r="R3140" s="11"/>
      <c r="S3140" s="11"/>
    </row>
    <row r="3141" spans="1:19" s="9" customFormat="1" x14ac:dyDescent="0.25">
      <c r="A3141" s="10"/>
      <c r="B3141" s="11"/>
      <c r="C3141" s="11"/>
      <c r="D3141" s="11"/>
      <c r="E3141" s="11"/>
      <c r="F3141" s="11"/>
      <c r="G3141" s="11"/>
      <c r="H3141" s="11"/>
      <c r="I3141" s="11"/>
      <c r="J3141" s="11"/>
      <c r="K3141" s="11"/>
      <c r="L3141" s="11"/>
      <c r="M3141" s="11"/>
      <c r="N3141" s="11"/>
      <c r="O3141" s="11"/>
      <c r="P3141" s="11"/>
      <c r="Q3141" s="11"/>
      <c r="R3141" s="11"/>
      <c r="S3141" s="11"/>
    </row>
    <row r="3142" spans="1:19" s="9" customFormat="1" x14ac:dyDescent="0.25">
      <c r="A3142" s="10"/>
      <c r="B3142" s="11"/>
      <c r="C3142" s="11"/>
      <c r="D3142" s="11"/>
      <c r="E3142" s="11"/>
      <c r="F3142" s="11"/>
      <c r="G3142" s="11"/>
      <c r="H3142" s="11"/>
      <c r="I3142" s="11"/>
      <c r="J3142" s="11"/>
      <c r="K3142" s="11"/>
      <c r="L3142" s="11"/>
      <c r="M3142" s="11"/>
      <c r="N3142" s="11"/>
      <c r="O3142" s="11"/>
      <c r="P3142" s="11"/>
      <c r="Q3142" s="11"/>
      <c r="R3142" s="11"/>
      <c r="S3142" s="11"/>
    </row>
    <row r="3143" spans="1:19" s="9" customFormat="1" x14ac:dyDescent="0.25">
      <c r="A3143" s="10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  <c r="O3143" s="11"/>
      <c r="P3143" s="11"/>
      <c r="Q3143" s="11"/>
      <c r="R3143" s="11"/>
      <c r="S3143" s="11"/>
    </row>
    <row r="3144" spans="1:19" s="9" customFormat="1" x14ac:dyDescent="0.25">
      <c r="A3144" s="10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  <c r="O3144" s="11"/>
      <c r="P3144" s="11"/>
      <c r="Q3144" s="11"/>
      <c r="R3144" s="11"/>
      <c r="S3144" s="11"/>
    </row>
    <row r="3145" spans="1:19" s="9" customFormat="1" x14ac:dyDescent="0.25">
      <c r="A3145" s="10"/>
      <c r="B3145" s="11"/>
      <c r="C3145" s="11"/>
      <c r="D3145" s="11"/>
      <c r="E3145" s="11"/>
      <c r="F3145" s="11"/>
      <c r="G3145" s="11"/>
      <c r="H3145" s="11"/>
      <c r="I3145" s="11"/>
      <c r="J3145" s="11"/>
      <c r="K3145" s="11"/>
      <c r="L3145" s="11"/>
      <c r="M3145" s="11"/>
      <c r="N3145" s="11"/>
      <c r="O3145" s="11"/>
      <c r="P3145" s="11"/>
      <c r="Q3145" s="11"/>
      <c r="R3145" s="11"/>
      <c r="S3145" s="11"/>
    </row>
    <row r="3146" spans="1:19" s="9" customFormat="1" x14ac:dyDescent="0.25">
      <c r="A3146" s="10"/>
      <c r="B3146" s="11"/>
      <c r="C3146" s="11"/>
      <c r="D3146" s="11"/>
      <c r="E3146" s="11"/>
      <c r="F3146" s="11"/>
      <c r="G3146" s="11"/>
      <c r="H3146" s="11"/>
      <c r="I3146" s="11"/>
      <c r="J3146" s="11"/>
      <c r="K3146" s="11"/>
      <c r="L3146" s="11"/>
      <c r="M3146" s="11"/>
      <c r="N3146" s="11"/>
      <c r="O3146" s="11"/>
      <c r="P3146" s="11"/>
      <c r="Q3146" s="11"/>
      <c r="R3146" s="11"/>
      <c r="S3146" s="11"/>
    </row>
    <row r="3147" spans="1:19" s="9" customFormat="1" x14ac:dyDescent="0.25">
      <c r="A3147" s="10"/>
      <c r="B3147" s="11"/>
      <c r="C3147" s="11"/>
      <c r="D3147" s="11"/>
      <c r="E3147" s="11"/>
      <c r="F3147" s="11"/>
      <c r="G3147" s="11"/>
      <c r="H3147" s="11"/>
      <c r="I3147" s="11"/>
      <c r="J3147" s="11"/>
      <c r="K3147" s="11"/>
      <c r="L3147" s="11"/>
      <c r="M3147" s="11"/>
      <c r="N3147" s="11"/>
      <c r="O3147" s="11"/>
      <c r="P3147" s="11"/>
      <c r="Q3147" s="11"/>
      <c r="R3147" s="11"/>
      <c r="S3147" s="11"/>
    </row>
    <row r="3148" spans="1:19" s="9" customFormat="1" x14ac:dyDescent="0.25">
      <c r="A3148" s="10"/>
      <c r="B3148" s="11"/>
      <c r="C3148" s="11"/>
      <c r="D3148" s="11"/>
      <c r="E3148" s="11"/>
      <c r="F3148" s="11"/>
      <c r="G3148" s="11"/>
      <c r="H3148" s="11"/>
      <c r="I3148" s="11"/>
      <c r="J3148" s="11"/>
      <c r="K3148" s="11"/>
      <c r="L3148" s="11"/>
      <c r="M3148" s="11"/>
      <c r="N3148" s="11"/>
      <c r="O3148" s="11"/>
      <c r="P3148" s="11"/>
      <c r="Q3148" s="11"/>
      <c r="R3148" s="11"/>
      <c r="S3148" s="11"/>
    </row>
    <row r="3149" spans="1:19" s="9" customFormat="1" x14ac:dyDescent="0.25">
      <c r="A3149" s="10"/>
      <c r="B3149" s="11"/>
      <c r="C3149" s="11"/>
      <c r="D3149" s="11"/>
      <c r="E3149" s="11"/>
      <c r="F3149" s="11"/>
      <c r="G3149" s="11"/>
      <c r="H3149" s="11"/>
      <c r="I3149" s="11"/>
      <c r="J3149" s="11"/>
      <c r="K3149" s="11"/>
      <c r="L3149" s="11"/>
      <c r="M3149" s="11"/>
      <c r="N3149" s="11"/>
      <c r="O3149" s="11"/>
      <c r="P3149" s="11"/>
      <c r="Q3149" s="11"/>
      <c r="R3149" s="11"/>
      <c r="S3149" s="11"/>
    </row>
    <row r="3150" spans="1:19" s="9" customFormat="1" x14ac:dyDescent="0.25">
      <c r="A3150" s="10"/>
      <c r="B3150" s="11"/>
      <c r="C3150" s="11"/>
      <c r="D3150" s="11"/>
      <c r="E3150" s="11"/>
      <c r="F3150" s="11"/>
      <c r="G3150" s="11"/>
      <c r="H3150" s="11"/>
      <c r="I3150" s="11"/>
      <c r="J3150" s="11"/>
      <c r="K3150" s="11"/>
      <c r="L3150" s="11"/>
      <c r="M3150" s="11"/>
      <c r="N3150" s="11"/>
      <c r="O3150" s="11"/>
      <c r="P3150" s="11"/>
      <c r="Q3150" s="11"/>
      <c r="R3150" s="11"/>
      <c r="S3150" s="11"/>
    </row>
    <row r="3151" spans="1:19" s="9" customFormat="1" x14ac:dyDescent="0.25">
      <c r="A3151" s="10"/>
      <c r="B3151" s="11"/>
      <c r="C3151" s="11"/>
      <c r="D3151" s="11"/>
      <c r="E3151" s="11"/>
      <c r="F3151" s="11"/>
      <c r="G3151" s="11"/>
      <c r="H3151" s="11"/>
      <c r="I3151" s="11"/>
      <c r="J3151" s="11"/>
      <c r="K3151" s="11"/>
      <c r="L3151" s="11"/>
      <c r="M3151" s="11"/>
      <c r="N3151" s="11"/>
      <c r="O3151" s="11"/>
      <c r="P3151" s="11"/>
      <c r="Q3151" s="11"/>
      <c r="R3151" s="11"/>
      <c r="S3151" s="11"/>
    </row>
    <row r="3152" spans="1:19" s="9" customFormat="1" x14ac:dyDescent="0.25">
      <c r="A3152" s="10"/>
      <c r="B3152" s="11"/>
      <c r="C3152" s="11"/>
      <c r="D3152" s="11"/>
      <c r="E3152" s="11"/>
      <c r="F3152" s="11"/>
      <c r="G3152" s="11"/>
      <c r="H3152" s="11"/>
      <c r="I3152" s="11"/>
      <c r="J3152" s="11"/>
      <c r="K3152" s="11"/>
      <c r="L3152" s="11"/>
      <c r="M3152" s="11"/>
      <c r="N3152" s="11"/>
      <c r="O3152" s="11"/>
      <c r="P3152" s="11"/>
      <c r="Q3152" s="11"/>
      <c r="R3152" s="11"/>
      <c r="S3152" s="11"/>
    </row>
    <row r="3153" spans="1:19" s="9" customFormat="1" x14ac:dyDescent="0.25">
      <c r="A3153" s="10"/>
      <c r="B3153" s="11"/>
      <c r="C3153" s="11"/>
      <c r="D3153" s="11"/>
      <c r="E3153" s="11"/>
      <c r="F3153" s="11"/>
      <c r="G3153" s="11"/>
      <c r="H3153" s="11"/>
      <c r="I3153" s="11"/>
      <c r="J3153" s="11"/>
      <c r="K3153" s="11"/>
      <c r="L3153" s="11"/>
      <c r="M3153" s="11"/>
      <c r="N3153" s="11"/>
      <c r="O3153" s="11"/>
      <c r="P3153" s="11"/>
      <c r="Q3153" s="11"/>
      <c r="R3153" s="11"/>
      <c r="S3153" s="11"/>
    </row>
    <row r="3154" spans="1:19" s="9" customFormat="1" x14ac:dyDescent="0.25">
      <c r="A3154" s="10"/>
      <c r="B3154" s="11"/>
      <c r="C3154" s="11"/>
      <c r="D3154" s="11"/>
      <c r="E3154" s="11"/>
      <c r="F3154" s="11"/>
      <c r="G3154" s="11"/>
      <c r="H3154" s="11"/>
      <c r="I3154" s="11"/>
      <c r="J3154" s="11"/>
      <c r="K3154" s="11"/>
      <c r="L3154" s="11"/>
      <c r="M3154" s="11"/>
      <c r="N3154" s="11"/>
      <c r="O3154" s="11"/>
      <c r="P3154" s="11"/>
      <c r="Q3154" s="11"/>
      <c r="R3154" s="11"/>
      <c r="S3154" s="11"/>
    </row>
    <row r="3155" spans="1:19" s="9" customFormat="1" x14ac:dyDescent="0.25">
      <c r="A3155" s="10"/>
      <c r="B3155" s="11"/>
      <c r="C3155" s="11"/>
      <c r="D3155" s="11"/>
      <c r="E3155" s="11"/>
      <c r="F3155" s="11"/>
      <c r="G3155" s="11"/>
      <c r="H3155" s="11"/>
      <c r="I3155" s="11"/>
      <c r="J3155" s="11"/>
      <c r="K3155" s="11"/>
      <c r="L3155" s="11"/>
      <c r="M3155" s="11"/>
      <c r="N3155" s="11"/>
      <c r="O3155" s="11"/>
      <c r="P3155" s="11"/>
      <c r="Q3155" s="11"/>
      <c r="R3155" s="11"/>
      <c r="S3155" s="11"/>
    </row>
    <row r="3156" spans="1:19" s="9" customFormat="1" x14ac:dyDescent="0.25">
      <c r="A3156" s="10"/>
      <c r="B3156" s="11"/>
      <c r="C3156" s="11"/>
      <c r="D3156" s="11"/>
      <c r="E3156" s="11"/>
      <c r="F3156" s="11"/>
      <c r="G3156" s="11"/>
      <c r="H3156" s="11"/>
      <c r="I3156" s="11"/>
      <c r="J3156" s="11"/>
      <c r="K3156" s="11"/>
      <c r="L3156" s="11"/>
      <c r="M3156" s="11"/>
      <c r="N3156" s="11"/>
      <c r="O3156" s="11"/>
      <c r="P3156" s="11"/>
      <c r="Q3156" s="11"/>
      <c r="R3156" s="11"/>
      <c r="S3156" s="11"/>
    </row>
    <row r="3157" spans="1:19" s="9" customFormat="1" x14ac:dyDescent="0.25">
      <c r="A3157" s="10"/>
      <c r="B3157" s="11"/>
      <c r="C3157" s="11"/>
      <c r="D3157" s="11"/>
      <c r="E3157" s="11"/>
      <c r="F3157" s="11"/>
      <c r="G3157" s="11"/>
      <c r="H3157" s="11"/>
      <c r="I3157" s="11"/>
      <c r="J3157" s="11"/>
      <c r="K3157" s="11"/>
      <c r="L3157" s="11"/>
      <c r="M3157" s="11"/>
      <c r="N3157" s="11"/>
      <c r="O3157" s="11"/>
      <c r="P3157" s="11"/>
      <c r="Q3157" s="11"/>
      <c r="R3157" s="11"/>
      <c r="S3157" s="11"/>
    </row>
    <row r="3158" spans="1:19" s="9" customFormat="1" x14ac:dyDescent="0.25">
      <c r="A3158" s="10"/>
      <c r="B3158" s="11"/>
      <c r="C3158" s="11"/>
      <c r="D3158" s="11"/>
      <c r="E3158" s="11"/>
      <c r="F3158" s="11"/>
      <c r="G3158" s="11"/>
      <c r="H3158" s="11"/>
      <c r="I3158" s="11"/>
      <c r="J3158" s="11"/>
      <c r="K3158" s="11"/>
      <c r="L3158" s="11"/>
      <c r="M3158" s="11"/>
      <c r="N3158" s="11"/>
      <c r="O3158" s="11"/>
      <c r="P3158" s="11"/>
      <c r="Q3158" s="11"/>
      <c r="R3158" s="11"/>
      <c r="S3158" s="11"/>
    </row>
    <row r="3159" spans="1:19" s="9" customFormat="1" x14ac:dyDescent="0.25">
      <c r="A3159" s="10"/>
      <c r="B3159" s="11"/>
      <c r="C3159" s="11"/>
      <c r="D3159" s="11"/>
      <c r="E3159" s="11"/>
      <c r="F3159" s="11"/>
      <c r="G3159" s="11"/>
      <c r="H3159" s="11"/>
      <c r="I3159" s="11"/>
      <c r="J3159" s="11"/>
      <c r="K3159" s="11"/>
      <c r="L3159" s="11"/>
      <c r="M3159" s="11"/>
      <c r="N3159" s="11"/>
      <c r="O3159" s="11"/>
      <c r="P3159" s="11"/>
      <c r="Q3159" s="11"/>
      <c r="R3159" s="11"/>
      <c r="S3159" s="11"/>
    </row>
    <row r="3160" spans="1:19" s="9" customFormat="1" x14ac:dyDescent="0.25">
      <c r="A3160" s="10"/>
      <c r="B3160" s="11"/>
      <c r="C3160" s="11"/>
      <c r="D3160" s="11"/>
      <c r="E3160" s="11"/>
      <c r="F3160" s="11"/>
      <c r="G3160" s="11"/>
      <c r="H3160" s="11"/>
      <c r="I3160" s="11"/>
      <c r="J3160" s="11"/>
      <c r="K3160" s="11"/>
      <c r="L3160" s="11"/>
      <c r="M3160" s="11"/>
      <c r="N3160" s="11"/>
      <c r="O3160" s="11"/>
      <c r="P3160" s="11"/>
      <c r="Q3160" s="11"/>
      <c r="R3160" s="11"/>
      <c r="S3160" s="11"/>
    </row>
    <row r="3161" spans="1:19" s="9" customFormat="1" x14ac:dyDescent="0.25">
      <c r="A3161" s="10"/>
      <c r="B3161" s="11"/>
      <c r="C3161" s="11"/>
      <c r="D3161" s="11"/>
      <c r="E3161" s="11"/>
      <c r="F3161" s="11"/>
      <c r="G3161" s="11"/>
      <c r="H3161" s="11"/>
      <c r="I3161" s="11"/>
      <c r="J3161" s="11"/>
      <c r="K3161" s="11"/>
      <c r="L3161" s="11"/>
      <c r="M3161" s="11"/>
      <c r="N3161" s="11"/>
      <c r="O3161" s="11"/>
      <c r="P3161" s="11"/>
      <c r="Q3161" s="11"/>
      <c r="R3161" s="11"/>
      <c r="S3161" s="11"/>
    </row>
    <row r="3162" spans="1:19" s="9" customFormat="1" x14ac:dyDescent="0.25">
      <c r="A3162" s="10"/>
      <c r="B3162" s="11"/>
      <c r="C3162" s="11"/>
      <c r="D3162" s="11"/>
      <c r="E3162" s="11"/>
      <c r="F3162" s="11"/>
      <c r="G3162" s="11"/>
      <c r="H3162" s="11"/>
      <c r="I3162" s="11"/>
      <c r="J3162" s="11"/>
      <c r="K3162" s="11"/>
      <c r="L3162" s="11"/>
      <c r="M3162" s="11"/>
      <c r="N3162" s="11"/>
      <c r="O3162" s="11"/>
      <c r="P3162" s="11"/>
      <c r="Q3162" s="11"/>
      <c r="R3162" s="11"/>
      <c r="S3162" s="11"/>
    </row>
    <row r="3163" spans="1:19" s="9" customFormat="1" x14ac:dyDescent="0.25">
      <c r="A3163" s="10"/>
      <c r="B3163" s="11"/>
      <c r="C3163" s="11"/>
      <c r="D3163" s="11"/>
      <c r="E3163" s="11"/>
      <c r="F3163" s="11"/>
      <c r="G3163" s="11"/>
      <c r="H3163" s="11"/>
      <c r="I3163" s="11"/>
      <c r="J3163" s="11"/>
      <c r="K3163" s="11"/>
      <c r="L3163" s="11"/>
      <c r="M3163" s="11"/>
      <c r="N3163" s="11"/>
      <c r="O3163" s="11"/>
      <c r="P3163" s="11"/>
      <c r="Q3163" s="11"/>
      <c r="R3163" s="11"/>
      <c r="S3163" s="11"/>
    </row>
    <row r="3164" spans="1:19" s="9" customFormat="1" x14ac:dyDescent="0.25">
      <c r="A3164" s="10"/>
      <c r="B3164" s="11"/>
      <c r="C3164" s="11"/>
      <c r="D3164" s="11"/>
      <c r="E3164" s="11"/>
      <c r="F3164" s="11"/>
      <c r="G3164" s="11"/>
      <c r="H3164" s="11"/>
      <c r="I3164" s="11"/>
      <c r="J3164" s="11"/>
      <c r="K3164" s="11"/>
      <c r="L3164" s="11"/>
      <c r="M3164" s="11"/>
      <c r="N3164" s="11"/>
      <c r="O3164" s="11"/>
      <c r="P3164" s="11"/>
      <c r="Q3164" s="11"/>
      <c r="R3164" s="11"/>
      <c r="S3164" s="11"/>
    </row>
    <row r="3165" spans="1:19" s="9" customFormat="1" x14ac:dyDescent="0.25">
      <c r="A3165" s="10"/>
      <c r="B3165" s="11"/>
      <c r="C3165" s="11"/>
      <c r="D3165" s="11"/>
      <c r="E3165" s="11"/>
      <c r="F3165" s="11"/>
      <c r="G3165" s="11"/>
      <c r="H3165" s="11"/>
      <c r="I3165" s="11"/>
      <c r="J3165" s="11"/>
      <c r="K3165" s="11"/>
      <c r="L3165" s="11"/>
      <c r="M3165" s="11"/>
      <c r="N3165" s="11"/>
      <c r="O3165" s="11"/>
      <c r="P3165" s="11"/>
      <c r="Q3165" s="11"/>
      <c r="R3165" s="11"/>
      <c r="S3165" s="11"/>
    </row>
    <row r="3166" spans="1:19" s="9" customFormat="1" x14ac:dyDescent="0.25">
      <c r="A3166" s="10"/>
      <c r="B3166" s="11"/>
      <c r="C3166" s="11"/>
      <c r="D3166" s="11"/>
      <c r="E3166" s="11"/>
      <c r="F3166" s="11"/>
      <c r="G3166" s="11"/>
      <c r="H3166" s="11"/>
      <c r="I3166" s="11"/>
      <c r="J3166" s="11"/>
      <c r="K3166" s="11"/>
      <c r="L3166" s="11"/>
      <c r="M3166" s="11"/>
      <c r="N3166" s="11"/>
      <c r="O3166" s="11"/>
      <c r="P3166" s="11"/>
      <c r="Q3166" s="11"/>
      <c r="R3166" s="11"/>
      <c r="S3166" s="11"/>
    </row>
    <row r="3167" spans="1:19" s="9" customFormat="1" x14ac:dyDescent="0.25">
      <c r="A3167" s="10"/>
      <c r="B3167" s="11"/>
      <c r="C3167" s="11"/>
      <c r="D3167" s="11"/>
      <c r="E3167" s="11"/>
      <c r="F3167" s="11"/>
      <c r="G3167" s="11"/>
      <c r="H3167" s="11"/>
      <c r="I3167" s="11"/>
      <c r="J3167" s="11"/>
      <c r="K3167" s="11"/>
      <c r="L3167" s="11"/>
      <c r="M3167" s="11"/>
      <c r="N3167" s="11"/>
      <c r="O3167" s="11"/>
      <c r="P3167" s="11"/>
      <c r="Q3167" s="11"/>
      <c r="R3167" s="11"/>
      <c r="S3167" s="11"/>
    </row>
    <row r="3168" spans="1:19" s="9" customFormat="1" x14ac:dyDescent="0.25">
      <c r="A3168" s="10"/>
      <c r="B3168" s="11"/>
      <c r="C3168" s="11"/>
      <c r="D3168" s="11"/>
      <c r="E3168" s="11"/>
      <c r="F3168" s="11"/>
      <c r="G3168" s="11"/>
      <c r="H3168" s="11"/>
      <c r="I3168" s="11"/>
      <c r="J3168" s="11"/>
      <c r="K3168" s="11"/>
      <c r="L3168" s="11"/>
      <c r="M3168" s="11"/>
      <c r="N3168" s="11"/>
      <c r="O3168" s="11"/>
      <c r="P3168" s="11"/>
      <c r="Q3168" s="11"/>
      <c r="R3168" s="11"/>
      <c r="S3168" s="11"/>
    </row>
    <row r="3169" spans="1:19" s="9" customFormat="1" x14ac:dyDescent="0.25">
      <c r="A3169" s="10"/>
      <c r="B3169" s="11"/>
      <c r="C3169" s="11"/>
      <c r="D3169" s="11"/>
      <c r="E3169" s="11"/>
      <c r="F3169" s="11"/>
      <c r="G3169" s="11"/>
      <c r="H3169" s="11"/>
      <c r="I3169" s="11"/>
      <c r="J3169" s="11"/>
      <c r="K3169" s="11"/>
      <c r="L3169" s="11"/>
      <c r="M3169" s="11"/>
      <c r="N3169" s="11"/>
      <c r="O3169" s="11"/>
      <c r="P3169" s="11"/>
      <c r="Q3169" s="11"/>
      <c r="R3169" s="11"/>
      <c r="S3169" s="11"/>
    </row>
    <row r="3170" spans="1:19" s="9" customFormat="1" x14ac:dyDescent="0.25">
      <c r="A3170" s="10"/>
      <c r="B3170" s="11"/>
      <c r="C3170" s="11"/>
      <c r="D3170" s="11"/>
      <c r="E3170" s="11"/>
      <c r="F3170" s="11"/>
      <c r="G3170" s="11"/>
      <c r="H3170" s="11"/>
      <c r="I3170" s="11"/>
      <c r="J3170" s="11"/>
      <c r="K3170" s="11"/>
      <c r="L3170" s="11"/>
      <c r="M3170" s="11"/>
      <c r="N3170" s="11"/>
      <c r="O3170" s="11"/>
      <c r="P3170" s="11"/>
      <c r="Q3170" s="11"/>
      <c r="R3170" s="11"/>
      <c r="S3170" s="11"/>
    </row>
    <row r="3171" spans="1:19" s="9" customFormat="1" x14ac:dyDescent="0.25">
      <c r="A3171" s="10"/>
      <c r="B3171" s="11"/>
      <c r="C3171" s="11"/>
      <c r="D3171" s="11"/>
      <c r="E3171" s="11"/>
      <c r="F3171" s="11"/>
      <c r="G3171" s="11"/>
      <c r="H3171" s="11"/>
      <c r="I3171" s="11"/>
      <c r="J3171" s="11"/>
      <c r="K3171" s="11"/>
      <c r="L3171" s="11"/>
      <c r="M3171" s="11"/>
      <c r="N3171" s="11"/>
      <c r="O3171" s="11"/>
      <c r="P3171" s="11"/>
      <c r="Q3171" s="11"/>
      <c r="R3171" s="11"/>
      <c r="S3171" s="11"/>
    </row>
    <row r="3172" spans="1:19" s="9" customFormat="1" x14ac:dyDescent="0.25">
      <c r="A3172" s="10"/>
      <c r="B3172" s="11"/>
      <c r="C3172" s="11"/>
      <c r="D3172" s="11"/>
      <c r="E3172" s="11"/>
      <c r="F3172" s="11"/>
      <c r="G3172" s="11"/>
      <c r="H3172" s="11"/>
      <c r="I3172" s="11"/>
      <c r="J3172" s="11"/>
      <c r="K3172" s="11"/>
      <c r="L3172" s="11"/>
      <c r="M3172" s="11"/>
      <c r="N3172" s="11"/>
      <c r="O3172" s="11"/>
      <c r="P3172" s="11"/>
      <c r="Q3172" s="11"/>
      <c r="R3172" s="11"/>
      <c r="S3172" s="11"/>
    </row>
    <row r="3173" spans="1:19" s="9" customFormat="1" x14ac:dyDescent="0.25">
      <c r="A3173" s="10"/>
      <c r="B3173" s="11"/>
      <c r="C3173" s="11"/>
      <c r="D3173" s="11"/>
      <c r="E3173" s="11"/>
      <c r="F3173" s="11"/>
      <c r="G3173" s="11"/>
      <c r="H3173" s="11"/>
      <c r="I3173" s="11"/>
      <c r="J3173" s="11"/>
      <c r="K3173" s="11"/>
      <c r="L3173" s="11"/>
      <c r="M3173" s="11"/>
      <c r="N3173" s="11"/>
      <c r="O3173" s="11"/>
      <c r="P3173" s="11"/>
      <c r="Q3173" s="11"/>
      <c r="R3173" s="11"/>
      <c r="S3173" s="11"/>
    </row>
    <row r="3174" spans="1:19" s="9" customFormat="1" x14ac:dyDescent="0.25">
      <c r="A3174" s="10"/>
      <c r="B3174" s="11"/>
      <c r="C3174" s="11"/>
      <c r="D3174" s="11"/>
      <c r="E3174" s="11"/>
      <c r="F3174" s="11"/>
      <c r="G3174" s="11"/>
      <c r="H3174" s="11"/>
      <c r="I3174" s="11"/>
      <c r="J3174" s="11"/>
      <c r="K3174" s="11"/>
      <c r="L3174" s="11"/>
      <c r="M3174" s="11"/>
      <c r="N3174" s="11"/>
      <c r="O3174" s="11"/>
      <c r="P3174" s="11"/>
      <c r="Q3174" s="11"/>
      <c r="R3174" s="11"/>
      <c r="S3174" s="11"/>
    </row>
    <row r="3175" spans="1:19" s="9" customFormat="1" x14ac:dyDescent="0.25">
      <c r="A3175" s="10"/>
      <c r="B3175" s="11"/>
      <c r="C3175" s="11"/>
      <c r="D3175" s="11"/>
      <c r="E3175" s="11"/>
      <c r="F3175" s="11"/>
      <c r="G3175" s="11"/>
      <c r="H3175" s="11"/>
      <c r="I3175" s="11"/>
      <c r="J3175" s="11"/>
      <c r="K3175" s="11"/>
      <c r="L3175" s="11"/>
      <c r="M3175" s="11"/>
      <c r="N3175" s="11"/>
      <c r="O3175" s="11"/>
      <c r="P3175" s="11"/>
      <c r="Q3175" s="11"/>
      <c r="R3175" s="11"/>
      <c r="S3175" s="11"/>
    </row>
    <row r="3176" spans="1:19" s="9" customFormat="1" x14ac:dyDescent="0.25">
      <c r="A3176" s="10"/>
      <c r="B3176" s="11"/>
      <c r="C3176" s="11"/>
      <c r="D3176" s="11"/>
      <c r="E3176" s="11"/>
      <c r="F3176" s="11"/>
      <c r="G3176" s="11"/>
      <c r="H3176" s="11"/>
      <c r="I3176" s="11"/>
      <c r="J3176" s="11"/>
      <c r="K3176" s="11"/>
      <c r="L3176" s="11"/>
      <c r="M3176" s="11"/>
      <c r="N3176" s="11"/>
      <c r="O3176" s="11"/>
      <c r="P3176" s="11"/>
      <c r="Q3176" s="11"/>
      <c r="R3176" s="11"/>
      <c r="S3176" s="11"/>
    </row>
    <row r="3177" spans="1:19" s="9" customFormat="1" x14ac:dyDescent="0.25">
      <c r="A3177" s="10"/>
      <c r="B3177" s="11"/>
      <c r="C3177" s="11"/>
      <c r="D3177" s="11"/>
      <c r="E3177" s="11"/>
      <c r="F3177" s="11"/>
      <c r="G3177" s="11"/>
      <c r="H3177" s="11"/>
      <c r="I3177" s="11"/>
      <c r="J3177" s="11"/>
      <c r="K3177" s="11"/>
      <c r="L3177" s="11"/>
      <c r="M3177" s="11"/>
      <c r="N3177" s="11"/>
      <c r="O3177" s="11"/>
      <c r="P3177" s="11"/>
      <c r="Q3177" s="11"/>
      <c r="R3177" s="11"/>
      <c r="S3177" s="11"/>
    </row>
    <row r="3178" spans="1:19" s="9" customFormat="1" x14ac:dyDescent="0.25">
      <c r="A3178" s="10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  <c r="O3178" s="11"/>
      <c r="P3178" s="11"/>
      <c r="Q3178" s="11"/>
      <c r="R3178" s="11"/>
      <c r="S3178" s="11"/>
    </row>
    <row r="3179" spans="1:19" s="9" customFormat="1" x14ac:dyDescent="0.25">
      <c r="A3179" s="10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  <c r="O3179" s="11"/>
      <c r="P3179" s="11"/>
      <c r="Q3179" s="11"/>
      <c r="R3179" s="11"/>
      <c r="S3179" s="11"/>
    </row>
    <row r="3180" spans="1:19" s="9" customFormat="1" x14ac:dyDescent="0.25">
      <c r="A3180" s="10"/>
      <c r="B3180" s="11"/>
      <c r="C3180" s="11"/>
      <c r="D3180" s="11"/>
      <c r="E3180" s="11"/>
      <c r="F3180" s="11"/>
      <c r="G3180" s="11"/>
      <c r="H3180" s="11"/>
      <c r="I3180" s="11"/>
      <c r="J3180" s="11"/>
      <c r="K3180" s="11"/>
      <c r="L3180" s="11"/>
      <c r="M3180" s="11"/>
      <c r="N3180" s="11"/>
      <c r="O3180" s="11"/>
      <c r="P3180" s="11"/>
      <c r="Q3180" s="11"/>
      <c r="R3180" s="11"/>
      <c r="S3180" s="11"/>
    </row>
    <row r="3181" spans="1:19" s="9" customFormat="1" x14ac:dyDescent="0.25">
      <c r="A3181" s="10"/>
      <c r="B3181" s="11"/>
      <c r="C3181" s="11"/>
      <c r="D3181" s="11"/>
      <c r="E3181" s="11"/>
      <c r="F3181" s="11"/>
      <c r="G3181" s="11"/>
      <c r="H3181" s="11"/>
      <c r="I3181" s="11"/>
      <c r="J3181" s="11"/>
      <c r="K3181" s="11"/>
      <c r="L3181" s="11"/>
      <c r="M3181" s="11"/>
      <c r="N3181" s="11"/>
      <c r="O3181" s="11"/>
      <c r="P3181" s="11"/>
      <c r="Q3181" s="11"/>
      <c r="R3181" s="11"/>
      <c r="S3181" s="11"/>
    </row>
    <row r="3182" spans="1:19" s="9" customFormat="1" x14ac:dyDescent="0.25">
      <c r="A3182" s="10"/>
      <c r="B3182" s="11"/>
      <c r="C3182" s="11"/>
      <c r="D3182" s="11"/>
      <c r="E3182" s="11"/>
      <c r="F3182" s="11"/>
      <c r="G3182" s="11"/>
      <c r="H3182" s="11"/>
      <c r="I3182" s="11"/>
      <c r="J3182" s="11"/>
      <c r="K3182" s="11"/>
      <c r="L3182" s="11"/>
      <c r="M3182" s="11"/>
      <c r="N3182" s="11"/>
      <c r="O3182" s="11"/>
      <c r="P3182" s="11"/>
      <c r="Q3182" s="11"/>
      <c r="R3182" s="11"/>
      <c r="S3182" s="11"/>
    </row>
    <row r="3183" spans="1:19" s="9" customFormat="1" x14ac:dyDescent="0.25">
      <c r="A3183" s="10"/>
      <c r="B3183" s="11"/>
      <c r="C3183" s="11"/>
      <c r="D3183" s="11"/>
      <c r="E3183" s="11"/>
      <c r="F3183" s="11"/>
      <c r="G3183" s="11"/>
      <c r="H3183" s="11"/>
      <c r="I3183" s="11"/>
      <c r="J3183" s="11"/>
      <c r="K3183" s="11"/>
      <c r="L3183" s="11"/>
      <c r="M3183" s="11"/>
      <c r="N3183" s="11"/>
      <c r="O3183" s="11"/>
      <c r="P3183" s="11"/>
      <c r="Q3183" s="11"/>
      <c r="R3183" s="11"/>
      <c r="S3183" s="11"/>
    </row>
    <row r="3184" spans="1:19" s="9" customFormat="1" x14ac:dyDescent="0.25">
      <c r="A3184" s="10"/>
      <c r="B3184" s="11"/>
      <c r="C3184" s="11"/>
      <c r="D3184" s="11"/>
      <c r="E3184" s="11"/>
      <c r="F3184" s="11"/>
      <c r="G3184" s="11"/>
      <c r="H3184" s="11"/>
      <c r="I3184" s="11"/>
      <c r="J3184" s="11"/>
      <c r="K3184" s="11"/>
      <c r="L3184" s="11"/>
      <c r="M3184" s="11"/>
      <c r="N3184" s="11"/>
      <c r="O3184" s="11"/>
      <c r="P3184" s="11"/>
      <c r="Q3184" s="11"/>
      <c r="R3184" s="11"/>
      <c r="S3184" s="11"/>
    </row>
    <row r="3185" spans="1:19" s="9" customFormat="1" x14ac:dyDescent="0.25">
      <c r="A3185" s="10"/>
      <c r="B3185" s="11"/>
      <c r="C3185" s="11"/>
      <c r="D3185" s="11"/>
      <c r="E3185" s="11"/>
      <c r="F3185" s="11"/>
      <c r="G3185" s="11"/>
      <c r="H3185" s="11"/>
      <c r="I3185" s="11"/>
      <c r="J3185" s="11"/>
      <c r="K3185" s="11"/>
      <c r="L3185" s="11"/>
      <c r="M3185" s="11"/>
      <c r="N3185" s="11"/>
      <c r="O3185" s="11"/>
      <c r="P3185" s="11"/>
      <c r="Q3185" s="11"/>
      <c r="R3185" s="11"/>
      <c r="S3185" s="11"/>
    </row>
    <row r="3186" spans="1:19" s="9" customFormat="1" x14ac:dyDescent="0.25">
      <c r="A3186" s="10"/>
      <c r="B3186" s="11"/>
      <c r="C3186" s="11"/>
      <c r="D3186" s="11"/>
      <c r="E3186" s="11"/>
      <c r="F3186" s="11"/>
      <c r="G3186" s="11"/>
      <c r="H3186" s="11"/>
      <c r="I3186" s="11"/>
      <c r="J3186" s="11"/>
      <c r="K3186" s="11"/>
      <c r="L3186" s="11"/>
      <c r="M3186" s="11"/>
      <c r="N3186" s="11"/>
      <c r="O3186" s="11"/>
      <c r="P3186" s="11"/>
      <c r="Q3186" s="11"/>
      <c r="R3186" s="11"/>
      <c r="S3186" s="11"/>
    </row>
    <row r="3187" spans="1:19" s="9" customFormat="1" x14ac:dyDescent="0.25">
      <c r="A3187" s="10"/>
      <c r="B3187" s="11"/>
      <c r="C3187" s="11"/>
      <c r="D3187" s="11"/>
      <c r="E3187" s="11"/>
      <c r="F3187" s="11"/>
      <c r="G3187" s="11"/>
      <c r="H3187" s="11"/>
      <c r="I3187" s="11"/>
      <c r="J3187" s="11"/>
      <c r="K3187" s="11"/>
      <c r="L3187" s="11"/>
      <c r="M3187" s="11"/>
      <c r="N3187" s="11"/>
      <c r="O3187" s="11"/>
      <c r="P3187" s="11"/>
      <c r="Q3187" s="11"/>
      <c r="R3187" s="11"/>
      <c r="S3187" s="11"/>
    </row>
    <row r="3188" spans="1:19" s="9" customFormat="1" x14ac:dyDescent="0.25">
      <c r="A3188" s="10"/>
      <c r="B3188" s="11"/>
      <c r="C3188" s="11"/>
      <c r="D3188" s="11"/>
      <c r="E3188" s="11"/>
      <c r="F3188" s="11"/>
      <c r="G3188" s="11"/>
      <c r="H3188" s="11"/>
      <c r="I3188" s="11"/>
      <c r="J3188" s="11"/>
      <c r="K3188" s="11"/>
      <c r="L3188" s="11"/>
      <c r="M3188" s="11"/>
      <c r="N3188" s="11"/>
      <c r="O3188" s="11"/>
      <c r="P3188" s="11"/>
      <c r="Q3188" s="11"/>
      <c r="R3188" s="11"/>
      <c r="S3188" s="11"/>
    </row>
    <row r="3189" spans="1:19" s="9" customFormat="1" x14ac:dyDescent="0.25">
      <c r="A3189" s="10"/>
      <c r="B3189" s="11"/>
      <c r="C3189" s="11"/>
      <c r="D3189" s="11"/>
      <c r="E3189" s="11"/>
      <c r="F3189" s="11"/>
      <c r="G3189" s="11"/>
      <c r="H3189" s="11"/>
      <c r="I3189" s="11"/>
      <c r="J3189" s="11"/>
      <c r="K3189" s="11"/>
      <c r="L3189" s="11"/>
      <c r="M3189" s="11"/>
      <c r="N3189" s="11"/>
      <c r="O3189" s="11"/>
      <c r="P3189" s="11"/>
      <c r="Q3189" s="11"/>
      <c r="R3189" s="11"/>
      <c r="S3189" s="11"/>
    </row>
    <row r="3190" spans="1:19" s="9" customFormat="1" x14ac:dyDescent="0.25">
      <c r="A3190" s="10"/>
      <c r="B3190" s="11"/>
      <c r="C3190" s="11"/>
      <c r="D3190" s="11"/>
      <c r="E3190" s="11"/>
      <c r="F3190" s="11"/>
      <c r="G3190" s="11"/>
      <c r="H3190" s="11"/>
      <c r="I3190" s="11"/>
      <c r="J3190" s="11"/>
      <c r="K3190" s="11"/>
      <c r="L3190" s="11"/>
      <c r="M3190" s="11"/>
      <c r="N3190" s="11"/>
      <c r="O3190" s="11"/>
      <c r="P3190" s="11"/>
      <c r="Q3190" s="11"/>
      <c r="R3190" s="11"/>
      <c r="S3190" s="11"/>
    </row>
    <row r="3191" spans="1:19" s="9" customFormat="1" x14ac:dyDescent="0.25">
      <c r="A3191" s="10"/>
      <c r="B3191" s="11"/>
      <c r="C3191" s="11"/>
      <c r="D3191" s="11"/>
      <c r="E3191" s="11"/>
      <c r="F3191" s="11"/>
      <c r="G3191" s="11"/>
      <c r="H3191" s="11"/>
      <c r="I3191" s="11"/>
      <c r="J3191" s="11"/>
      <c r="K3191" s="11"/>
      <c r="L3191" s="11"/>
      <c r="M3191" s="11"/>
      <c r="N3191" s="11"/>
      <c r="O3191" s="11"/>
      <c r="P3191" s="11"/>
      <c r="Q3191" s="11"/>
      <c r="R3191" s="11"/>
      <c r="S3191" s="11"/>
    </row>
    <row r="3192" spans="1:19" s="9" customFormat="1" x14ac:dyDescent="0.25">
      <c r="A3192" s="10"/>
      <c r="B3192" s="11"/>
      <c r="C3192" s="11"/>
      <c r="D3192" s="11"/>
      <c r="E3192" s="11"/>
      <c r="F3192" s="11"/>
      <c r="G3192" s="11"/>
      <c r="H3192" s="11"/>
      <c r="I3192" s="11"/>
      <c r="J3192" s="11"/>
      <c r="K3192" s="11"/>
      <c r="L3192" s="11"/>
      <c r="M3192" s="11"/>
      <c r="N3192" s="11"/>
      <c r="O3192" s="11"/>
      <c r="P3192" s="11"/>
      <c r="Q3192" s="11"/>
      <c r="R3192" s="11"/>
      <c r="S3192" s="11"/>
    </row>
    <row r="3193" spans="1:19" s="9" customFormat="1" x14ac:dyDescent="0.25">
      <c r="A3193" s="10"/>
      <c r="B3193" s="11"/>
      <c r="C3193" s="11"/>
      <c r="D3193" s="11"/>
      <c r="E3193" s="11"/>
      <c r="F3193" s="11"/>
      <c r="G3193" s="11"/>
      <c r="H3193" s="11"/>
      <c r="I3193" s="11"/>
      <c r="J3193" s="11"/>
      <c r="K3193" s="11"/>
      <c r="L3193" s="11"/>
      <c r="M3193" s="11"/>
      <c r="N3193" s="11"/>
      <c r="O3193" s="11"/>
      <c r="P3193" s="11"/>
      <c r="Q3193" s="11"/>
      <c r="R3193" s="11"/>
      <c r="S3193" s="11"/>
    </row>
    <row r="3194" spans="1:19" s="9" customFormat="1" x14ac:dyDescent="0.25">
      <c r="A3194" s="10"/>
      <c r="B3194" s="11"/>
      <c r="C3194" s="11"/>
      <c r="D3194" s="11"/>
      <c r="E3194" s="11"/>
      <c r="F3194" s="11"/>
      <c r="G3194" s="11"/>
      <c r="H3194" s="11"/>
      <c r="I3194" s="11"/>
      <c r="J3194" s="11"/>
      <c r="K3194" s="11"/>
      <c r="L3194" s="11"/>
      <c r="M3194" s="11"/>
      <c r="N3194" s="11"/>
      <c r="O3194" s="11"/>
      <c r="P3194" s="11"/>
      <c r="Q3194" s="11"/>
      <c r="R3194" s="11"/>
      <c r="S3194" s="11"/>
    </row>
    <row r="3195" spans="1:19" s="9" customFormat="1" x14ac:dyDescent="0.25">
      <c r="A3195" s="10"/>
      <c r="B3195" s="11"/>
      <c r="C3195" s="11"/>
      <c r="D3195" s="11"/>
      <c r="E3195" s="11"/>
      <c r="F3195" s="11"/>
      <c r="G3195" s="11"/>
      <c r="H3195" s="11"/>
      <c r="I3195" s="11"/>
      <c r="J3195" s="11"/>
      <c r="K3195" s="11"/>
      <c r="L3195" s="11"/>
      <c r="M3195" s="11"/>
      <c r="N3195" s="11"/>
      <c r="O3195" s="11"/>
      <c r="P3195" s="11"/>
      <c r="Q3195" s="11"/>
      <c r="R3195" s="11"/>
      <c r="S3195" s="11"/>
    </row>
    <row r="3196" spans="1:19" s="9" customFormat="1" x14ac:dyDescent="0.25">
      <c r="A3196" s="10"/>
      <c r="B3196" s="11"/>
      <c r="C3196" s="11"/>
      <c r="D3196" s="11"/>
      <c r="E3196" s="11"/>
      <c r="F3196" s="11"/>
      <c r="G3196" s="11"/>
      <c r="H3196" s="11"/>
      <c r="I3196" s="11"/>
      <c r="J3196" s="11"/>
      <c r="K3196" s="11"/>
      <c r="L3196" s="11"/>
      <c r="M3196" s="11"/>
      <c r="N3196" s="11"/>
      <c r="O3196" s="11"/>
      <c r="P3196" s="11"/>
      <c r="Q3196" s="11"/>
      <c r="R3196" s="11"/>
      <c r="S3196" s="11"/>
    </row>
    <row r="3197" spans="1:19" s="9" customFormat="1" x14ac:dyDescent="0.25">
      <c r="A3197" s="10"/>
      <c r="B3197" s="11"/>
      <c r="C3197" s="11"/>
      <c r="D3197" s="11"/>
      <c r="E3197" s="11"/>
      <c r="F3197" s="11"/>
      <c r="G3197" s="11"/>
      <c r="H3197" s="11"/>
      <c r="I3197" s="11"/>
      <c r="J3197" s="11"/>
      <c r="K3197" s="11"/>
      <c r="L3197" s="11"/>
      <c r="M3197" s="11"/>
      <c r="N3197" s="11"/>
      <c r="O3197" s="11"/>
      <c r="P3197" s="11"/>
      <c r="Q3197" s="11"/>
      <c r="R3197" s="11"/>
      <c r="S3197" s="11"/>
    </row>
    <row r="3198" spans="1:19" s="9" customFormat="1" x14ac:dyDescent="0.25">
      <c r="A3198" s="10"/>
      <c r="B3198" s="11"/>
      <c r="C3198" s="11"/>
      <c r="D3198" s="11"/>
      <c r="E3198" s="11"/>
      <c r="F3198" s="11"/>
      <c r="G3198" s="11"/>
      <c r="H3198" s="11"/>
      <c r="I3198" s="11"/>
      <c r="J3198" s="11"/>
      <c r="K3198" s="11"/>
      <c r="L3198" s="11"/>
      <c r="M3198" s="11"/>
      <c r="N3198" s="11"/>
      <c r="O3198" s="11"/>
      <c r="P3198" s="11"/>
      <c r="Q3198" s="11"/>
      <c r="R3198" s="11"/>
      <c r="S3198" s="11"/>
    </row>
    <row r="3199" spans="1:19" s="9" customFormat="1" x14ac:dyDescent="0.25">
      <c r="A3199" s="10"/>
      <c r="B3199" s="11"/>
      <c r="C3199" s="11"/>
      <c r="D3199" s="11"/>
      <c r="E3199" s="11"/>
      <c r="F3199" s="11"/>
      <c r="G3199" s="11"/>
      <c r="H3199" s="11"/>
      <c r="I3199" s="11"/>
      <c r="J3199" s="11"/>
      <c r="K3199" s="11"/>
      <c r="L3199" s="11"/>
      <c r="M3199" s="11"/>
      <c r="N3199" s="11"/>
      <c r="O3199" s="11"/>
      <c r="P3199" s="11"/>
      <c r="Q3199" s="11"/>
      <c r="R3199" s="11"/>
      <c r="S3199" s="11"/>
    </row>
    <row r="3200" spans="1:19" s="9" customFormat="1" x14ac:dyDescent="0.25">
      <c r="A3200" s="10"/>
      <c r="B3200" s="11"/>
      <c r="C3200" s="11"/>
      <c r="D3200" s="11"/>
      <c r="E3200" s="11"/>
      <c r="F3200" s="11"/>
      <c r="G3200" s="11"/>
      <c r="H3200" s="11"/>
      <c r="I3200" s="11"/>
      <c r="J3200" s="11"/>
      <c r="K3200" s="11"/>
      <c r="L3200" s="11"/>
      <c r="M3200" s="11"/>
      <c r="N3200" s="11"/>
      <c r="O3200" s="11"/>
      <c r="P3200" s="11"/>
      <c r="Q3200" s="11"/>
      <c r="R3200" s="11"/>
      <c r="S3200" s="11"/>
    </row>
    <row r="3201" spans="1:19" s="9" customFormat="1" x14ac:dyDescent="0.25">
      <c r="A3201" s="10"/>
      <c r="B3201" s="11"/>
      <c r="C3201" s="11"/>
      <c r="D3201" s="11"/>
      <c r="E3201" s="11"/>
      <c r="F3201" s="11"/>
      <c r="G3201" s="11"/>
      <c r="H3201" s="11"/>
      <c r="I3201" s="11"/>
      <c r="J3201" s="11"/>
      <c r="K3201" s="11"/>
      <c r="L3201" s="11"/>
      <c r="M3201" s="11"/>
      <c r="N3201" s="11"/>
      <c r="O3201" s="11"/>
      <c r="P3201" s="11"/>
      <c r="Q3201" s="11"/>
      <c r="R3201" s="11"/>
      <c r="S3201" s="11"/>
    </row>
    <row r="3202" spans="1:19" s="9" customFormat="1" x14ac:dyDescent="0.25">
      <c r="A3202" s="10"/>
      <c r="B3202" s="11"/>
      <c r="C3202" s="11"/>
      <c r="D3202" s="11"/>
      <c r="E3202" s="11"/>
      <c r="F3202" s="11"/>
      <c r="G3202" s="11"/>
      <c r="H3202" s="11"/>
      <c r="I3202" s="11"/>
      <c r="J3202" s="11"/>
      <c r="K3202" s="11"/>
      <c r="L3202" s="11"/>
      <c r="M3202" s="11"/>
      <c r="N3202" s="11"/>
      <c r="O3202" s="11"/>
      <c r="P3202" s="11"/>
      <c r="Q3202" s="11"/>
      <c r="R3202" s="11"/>
      <c r="S3202" s="11"/>
    </row>
    <row r="3203" spans="1:19" s="9" customFormat="1" x14ac:dyDescent="0.25">
      <c r="A3203" s="10"/>
      <c r="B3203" s="11"/>
      <c r="C3203" s="11"/>
      <c r="D3203" s="11"/>
      <c r="E3203" s="11"/>
      <c r="F3203" s="11"/>
      <c r="G3203" s="11"/>
      <c r="H3203" s="11"/>
      <c r="I3203" s="11"/>
      <c r="J3203" s="11"/>
      <c r="K3203" s="11"/>
      <c r="L3203" s="11"/>
      <c r="M3203" s="11"/>
      <c r="N3203" s="11"/>
      <c r="O3203" s="11"/>
      <c r="P3203" s="11"/>
      <c r="Q3203" s="11"/>
      <c r="R3203" s="11"/>
      <c r="S3203" s="11"/>
    </row>
    <row r="3204" spans="1:19" s="9" customFormat="1" x14ac:dyDescent="0.25">
      <c r="A3204" s="10"/>
      <c r="B3204" s="11"/>
      <c r="C3204" s="11"/>
      <c r="D3204" s="11"/>
      <c r="E3204" s="11"/>
      <c r="F3204" s="11"/>
      <c r="G3204" s="11"/>
      <c r="H3204" s="11"/>
      <c r="I3204" s="11"/>
      <c r="J3204" s="11"/>
      <c r="K3204" s="11"/>
      <c r="L3204" s="11"/>
      <c r="M3204" s="11"/>
      <c r="N3204" s="11"/>
      <c r="O3204" s="11"/>
      <c r="P3204" s="11"/>
      <c r="Q3204" s="11"/>
      <c r="R3204" s="11"/>
      <c r="S3204" s="11"/>
    </row>
    <row r="3205" spans="1:19" s="9" customFormat="1" x14ac:dyDescent="0.25">
      <c r="A3205" s="10"/>
      <c r="B3205" s="11"/>
      <c r="C3205" s="11"/>
      <c r="D3205" s="11"/>
      <c r="E3205" s="11"/>
      <c r="F3205" s="11"/>
      <c r="G3205" s="11"/>
      <c r="H3205" s="11"/>
      <c r="I3205" s="11"/>
      <c r="J3205" s="11"/>
      <c r="K3205" s="11"/>
      <c r="L3205" s="11"/>
      <c r="M3205" s="11"/>
      <c r="N3205" s="11"/>
      <c r="O3205" s="11"/>
      <c r="P3205" s="11"/>
      <c r="Q3205" s="11"/>
      <c r="R3205" s="11"/>
      <c r="S3205" s="11"/>
    </row>
    <row r="3206" spans="1:19" s="9" customFormat="1" x14ac:dyDescent="0.25">
      <c r="A3206" s="10"/>
      <c r="B3206" s="11"/>
      <c r="C3206" s="11"/>
      <c r="D3206" s="11"/>
      <c r="E3206" s="11"/>
      <c r="F3206" s="11"/>
      <c r="G3206" s="11"/>
      <c r="H3206" s="11"/>
      <c r="I3206" s="11"/>
      <c r="J3206" s="11"/>
      <c r="K3206" s="11"/>
      <c r="L3206" s="11"/>
      <c r="M3206" s="11"/>
      <c r="N3206" s="11"/>
      <c r="O3206" s="11"/>
      <c r="P3206" s="11"/>
      <c r="Q3206" s="11"/>
      <c r="R3206" s="11"/>
      <c r="S3206" s="11"/>
    </row>
    <row r="3207" spans="1:19" s="9" customFormat="1" x14ac:dyDescent="0.25">
      <c r="A3207" s="10"/>
      <c r="B3207" s="11"/>
      <c r="C3207" s="11"/>
      <c r="D3207" s="11"/>
      <c r="E3207" s="11"/>
      <c r="F3207" s="11"/>
      <c r="G3207" s="11"/>
      <c r="H3207" s="11"/>
      <c r="I3207" s="11"/>
      <c r="J3207" s="11"/>
      <c r="K3207" s="11"/>
      <c r="L3207" s="11"/>
      <c r="M3207" s="11"/>
      <c r="N3207" s="11"/>
      <c r="O3207" s="11"/>
      <c r="P3207" s="11"/>
      <c r="Q3207" s="11"/>
      <c r="R3207" s="11"/>
      <c r="S3207" s="11"/>
    </row>
    <row r="3208" spans="1:19" s="9" customFormat="1" x14ac:dyDescent="0.25">
      <c r="A3208" s="10"/>
      <c r="B3208" s="11"/>
      <c r="C3208" s="11"/>
      <c r="D3208" s="11"/>
      <c r="E3208" s="11"/>
      <c r="F3208" s="11"/>
      <c r="G3208" s="11"/>
      <c r="H3208" s="11"/>
      <c r="I3208" s="11"/>
      <c r="J3208" s="11"/>
      <c r="K3208" s="11"/>
      <c r="L3208" s="11"/>
      <c r="M3208" s="11"/>
      <c r="N3208" s="11"/>
      <c r="O3208" s="11"/>
      <c r="P3208" s="11"/>
      <c r="Q3208" s="11"/>
      <c r="R3208" s="11"/>
      <c r="S3208" s="11"/>
    </row>
    <row r="3209" spans="1:19" s="9" customFormat="1" x14ac:dyDescent="0.25">
      <c r="A3209" s="10"/>
      <c r="B3209" s="11"/>
      <c r="C3209" s="11"/>
      <c r="D3209" s="11"/>
      <c r="E3209" s="11"/>
      <c r="F3209" s="11"/>
      <c r="G3209" s="11"/>
      <c r="H3209" s="11"/>
      <c r="I3209" s="11"/>
      <c r="J3209" s="11"/>
      <c r="K3209" s="11"/>
      <c r="L3209" s="11"/>
      <c r="M3209" s="11"/>
      <c r="N3209" s="11"/>
      <c r="O3209" s="11"/>
      <c r="P3209" s="11"/>
      <c r="Q3209" s="11"/>
      <c r="R3209" s="11"/>
      <c r="S3209" s="11"/>
    </row>
    <row r="3210" spans="1:19" s="9" customFormat="1" x14ac:dyDescent="0.25">
      <c r="A3210" s="10"/>
      <c r="B3210" s="11"/>
      <c r="C3210" s="11"/>
      <c r="D3210" s="11"/>
      <c r="E3210" s="11"/>
      <c r="F3210" s="11"/>
      <c r="G3210" s="11"/>
      <c r="H3210" s="11"/>
      <c r="I3210" s="11"/>
      <c r="J3210" s="11"/>
      <c r="K3210" s="11"/>
      <c r="L3210" s="11"/>
      <c r="M3210" s="11"/>
      <c r="N3210" s="11"/>
      <c r="O3210" s="11"/>
      <c r="P3210" s="11"/>
      <c r="Q3210" s="11"/>
      <c r="R3210" s="11"/>
      <c r="S3210" s="11"/>
    </row>
    <row r="3211" spans="1:19" s="9" customFormat="1" x14ac:dyDescent="0.25">
      <c r="A3211" s="10"/>
      <c r="B3211" s="11"/>
      <c r="C3211" s="11"/>
      <c r="D3211" s="11"/>
      <c r="E3211" s="11"/>
      <c r="F3211" s="11"/>
      <c r="G3211" s="11"/>
      <c r="H3211" s="11"/>
      <c r="I3211" s="11"/>
      <c r="J3211" s="11"/>
      <c r="K3211" s="11"/>
      <c r="L3211" s="11"/>
      <c r="M3211" s="11"/>
      <c r="N3211" s="11"/>
      <c r="O3211" s="11"/>
      <c r="P3211" s="11"/>
      <c r="Q3211" s="11"/>
      <c r="R3211" s="11"/>
      <c r="S3211" s="11"/>
    </row>
    <row r="3212" spans="1:19" s="9" customFormat="1" x14ac:dyDescent="0.25">
      <c r="A3212" s="10"/>
      <c r="B3212" s="11"/>
      <c r="C3212" s="11"/>
      <c r="D3212" s="11"/>
      <c r="E3212" s="11"/>
      <c r="F3212" s="11"/>
      <c r="G3212" s="11"/>
      <c r="H3212" s="11"/>
      <c r="I3212" s="11"/>
      <c r="J3212" s="11"/>
      <c r="K3212" s="11"/>
      <c r="L3212" s="11"/>
      <c r="M3212" s="11"/>
      <c r="N3212" s="11"/>
      <c r="O3212" s="11"/>
      <c r="P3212" s="11"/>
      <c r="Q3212" s="11"/>
      <c r="R3212" s="11"/>
      <c r="S3212" s="11"/>
    </row>
    <row r="3213" spans="1:19" s="9" customFormat="1" x14ac:dyDescent="0.25">
      <c r="A3213" s="10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  <c r="O3213" s="11"/>
      <c r="P3213" s="11"/>
      <c r="Q3213" s="11"/>
      <c r="R3213" s="11"/>
      <c r="S3213" s="11"/>
    </row>
    <row r="3214" spans="1:19" s="9" customFormat="1" x14ac:dyDescent="0.25">
      <c r="A3214" s="10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  <c r="O3214" s="11"/>
      <c r="P3214" s="11"/>
      <c r="Q3214" s="11"/>
      <c r="R3214" s="11"/>
      <c r="S3214" s="11"/>
    </row>
    <row r="3215" spans="1:19" s="9" customFormat="1" x14ac:dyDescent="0.25">
      <c r="A3215" s="10"/>
      <c r="B3215" s="11"/>
      <c r="C3215" s="11"/>
      <c r="D3215" s="11"/>
      <c r="E3215" s="11"/>
      <c r="F3215" s="11"/>
      <c r="G3215" s="11"/>
      <c r="H3215" s="11"/>
      <c r="I3215" s="11"/>
      <c r="J3215" s="11"/>
      <c r="K3215" s="11"/>
      <c r="L3215" s="11"/>
      <c r="M3215" s="11"/>
      <c r="N3215" s="11"/>
      <c r="O3215" s="11"/>
      <c r="P3215" s="11"/>
      <c r="Q3215" s="11"/>
      <c r="R3215" s="11"/>
      <c r="S3215" s="11"/>
    </row>
    <row r="3216" spans="1:19" s="9" customFormat="1" x14ac:dyDescent="0.25">
      <c r="A3216" s="10"/>
      <c r="B3216" s="11"/>
      <c r="C3216" s="11"/>
      <c r="D3216" s="11"/>
      <c r="E3216" s="11"/>
      <c r="F3216" s="11"/>
      <c r="G3216" s="11"/>
      <c r="H3216" s="11"/>
      <c r="I3216" s="11"/>
      <c r="J3216" s="11"/>
      <c r="K3216" s="11"/>
      <c r="L3216" s="11"/>
      <c r="M3216" s="11"/>
      <c r="N3216" s="11"/>
      <c r="O3216" s="11"/>
      <c r="P3216" s="11"/>
      <c r="Q3216" s="11"/>
      <c r="R3216" s="11"/>
      <c r="S3216" s="11"/>
    </row>
    <row r="3217" spans="1:19" s="9" customFormat="1" x14ac:dyDescent="0.25">
      <c r="A3217" s="10"/>
      <c r="B3217" s="11"/>
      <c r="C3217" s="11"/>
      <c r="D3217" s="11"/>
      <c r="E3217" s="11"/>
      <c r="F3217" s="11"/>
      <c r="G3217" s="11"/>
      <c r="H3217" s="11"/>
      <c r="I3217" s="11"/>
      <c r="J3217" s="11"/>
      <c r="K3217" s="11"/>
      <c r="L3217" s="11"/>
      <c r="M3217" s="11"/>
      <c r="N3217" s="11"/>
      <c r="O3217" s="11"/>
      <c r="P3217" s="11"/>
      <c r="Q3217" s="11"/>
      <c r="R3217" s="11"/>
      <c r="S3217" s="11"/>
    </row>
    <row r="3218" spans="1:19" s="9" customFormat="1" x14ac:dyDescent="0.25">
      <c r="A3218" s="10"/>
      <c r="B3218" s="11"/>
      <c r="C3218" s="11"/>
      <c r="D3218" s="11"/>
      <c r="E3218" s="11"/>
      <c r="F3218" s="11"/>
      <c r="G3218" s="11"/>
      <c r="H3218" s="11"/>
      <c r="I3218" s="11"/>
      <c r="J3218" s="11"/>
      <c r="K3218" s="11"/>
      <c r="L3218" s="11"/>
      <c r="M3218" s="11"/>
      <c r="N3218" s="11"/>
      <c r="O3218" s="11"/>
      <c r="P3218" s="11"/>
      <c r="Q3218" s="11"/>
      <c r="R3218" s="11"/>
      <c r="S3218" s="11"/>
    </row>
    <row r="3219" spans="1:19" s="9" customFormat="1" x14ac:dyDescent="0.25">
      <c r="A3219" s="10"/>
      <c r="B3219" s="11"/>
      <c r="C3219" s="11"/>
      <c r="D3219" s="11"/>
      <c r="E3219" s="11"/>
      <c r="F3219" s="11"/>
      <c r="G3219" s="11"/>
      <c r="H3219" s="11"/>
      <c r="I3219" s="11"/>
      <c r="J3219" s="11"/>
      <c r="K3219" s="11"/>
      <c r="L3219" s="11"/>
      <c r="M3219" s="11"/>
      <c r="N3219" s="11"/>
      <c r="O3219" s="11"/>
      <c r="P3219" s="11"/>
      <c r="Q3219" s="11"/>
      <c r="R3219" s="11"/>
      <c r="S3219" s="11"/>
    </row>
    <row r="3220" spans="1:19" s="9" customFormat="1" x14ac:dyDescent="0.25">
      <c r="A3220" s="10"/>
      <c r="B3220" s="11"/>
      <c r="C3220" s="11"/>
      <c r="D3220" s="11"/>
      <c r="E3220" s="11"/>
      <c r="F3220" s="11"/>
      <c r="G3220" s="11"/>
      <c r="H3220" s="11"/>
      <c r="I3220" s="11"/>
      <c r="J3220" s="11"/>
      <c r="K3220" s="11"/>
      <c r="L3220" s="11"/>
      <c r="M3220" s="11"/>
      <c r="N3220" s="11"/>
      <c r="O3220" s="11"/>
      <c r="P3220" s="11"/>
      <c r="Q3220" s="11"/>
      <c r="R3220" s="11"/>
      <c r="S3220" s="11"/>
    </row>
    <row r="3221" spans="1:19" s="9" customFormat="1" x14ac:dyDescent="0.25">
      <c r="A3221" s="10"/>
      <c r="B3221" s="11"/>
      <c r="C3221" s="11"/>
      <c r="D3221" s="11"/>
      <c r="E3221" s="11"/>
      <c r="F3221" s="11"/>
      <c r="G3221" s="11"/>
      <c r="H3221" s="11"/>
      <c r="I3221" s="11"/>
      <c r="J3221" s="11"/>
      <c r="K3221" s="11"/>
      <c r="L3221" s="11"/>
      <c r="M3221" s="11"/>
      <c r="N3221" s="11"/>
      <c r="O3221" s="11"/>
      <c r="P3221" s="11"/>
      <c r="Q3221" s="11"/>
      <c r="R3221" s="11"/>
      <c r="S3221" s="11"/>
    </row>
    <row r="3222" spans="1:19" s="9" customFormat="1" x14ac:dyDescent="0.25">
      <c r="A3222" s="10"/>
      <c r="B3222" s="11"/>
      <c r="C3222" s="11"/>
      <c r="D3222" s="11"/>
      <c r="E3222" s="11"/>
      <c r="F3222" s="11"/>
      <c r="G3222" s="11"/>
      <c r="H3222" s="11"/>
      <c r="I3222" s="11"/>
      <c r="J3222" s="11"/>
      <c r="K3222" s="11"/>
      <c r="L3222" s="11"/>
      <c r="M3222" s="11"/>
      <c r="N3222" s="11"/>
      <c r="O3222" s="11"/>
      <c r="P3222" s="11"/>
      <c r="Q3222" s="11"/>
      <c r="R3222" s="11"/>
      <c r="S3222" s="11"/>
    </row>
    <row r="3223" spans="1:19" s="9" customFormat="1" x14ac:dyDescent="0.25">
      <c r="A3223" s="10"/>
      <c r="B3223" s="11"/>
      <c r="C3223" s="11"/>
      <c r="D3223" s="11"/>
      <c r="E3223" s="11"/>
      <c r="F3223" s="11"/>
      <c r="G3223" s="11"/>
      <c r="H3223" s="11"/>
      <c r="I3223" s="11"/>
      <c r="J3223" s="11"/>
      <c r="K3223" s="11"/>
      <c r="L3223" s="11"/>
      <c r="M3223" s="11"/>
      <c r="N3223" s="11"/>
      <c r="O3223" s="11"/>
      <c r="P3223" s="11"/>
      <c r="Q3223" s="11"/>
      <c r="R3223" s="11"/>
      <c r="S3223" s="11"/>
    </row>
    <row r="3224" spans="1:19" s="9" customFormat="1" x14ac:dyDescent="0.25">
      <c r="A3224" s="10"/>
      <c r="B3224" s="11"/>
      <c r="C3224" s="11"/>
      <c r="D3224" s="11"/>
      <c r="E3224" s="11"/>
      <c r="F3224" s="11"/>
      <c r="G3224" s="11"/>
      <c r="H3224" s="11"/>
      <c r="I3224" s="11"/>
      <c r="J3224" s="11"/>
      <c r="K3224" s="11"/>
      <c r="L3224" s="11"/>
      <c r="M3224" s="11"/>
      <c r="N3224" s="11"/>
      <c r="O3224" s="11"/>
      <c r="P3224" s="11"/>
      <c r="Q3224" s="11"/>
      <c r="R3224" s="11"/>
      <c r="S3224" s="11"/>
    </row>
    <row r="3225" spans="1:19" s="9" customFormat="1" x14ac:dyDescent="0.25">
      <c r="A3225" s="10"/>
      <c r="B3225" s="11"/>
      <c r="C3225" s="11"/>
      <c r="D3225" s="11"/>
      <c r="E3225" s="11"/>
      <c r="F3225" s="11"/>
      <c r="G3225" s="11"/>
      <c r="H3225" s="11"/>
      <c r="I3225" s="11"/>
      <c r="J3225" s="11"/>
      <c r="K3225" s="11"/>
      <c r="L3225" s="11"/>
      <c r="M3225" s="11"/>
      <c r="N3225" s="11"/>
      <c r="O3225" s="11"/>
      <c r="P3225" s="11"/>
      <c r="Q3225" s="11"/>
      <c r="R3225" s="11"/>
      <c r="S3225" s="11"/>
    </row>
    <row r="3226" spans="1:19" s="9" customFormat="1" x14ac:dyDescent="0.25">
      <c r="A3226" s="10"/>
      <c r="B3226" s="11"/>
      <c r="C3226" s="11"/>
      <c r="D3226" s="11"/>
      <c r="E3226" s="11"/>
      <c r="F3226" s="11"/>
      <c r="G3226" s="11"/>
      <c r="H3226" s="11"/>
      <c r="I3226" s="11"/>
      <c r="J3226" s="11"/>
      <c r="K3226" s="11"/>
      <c r="L3226" s="11"/>
      <c r="M3226" s="11"/>
      <c r="N3226" s="11"/>
      <c r="O3226" s="11"/>
      <c r="P3226" s="11"/>
      <c r="Q3226" s="11"/>
      <c r="R3226" s="11"/>
      <c r="S3226" s="11"/>
    </row>
    <row r="3227" spans="1:19" s="9" customFormat="1" x14ac:dyDescent="0.25">
      <c r="A3227" s="10"/>
      <c r="B3227" s="11"/>
      <c r="C3227" s="11"/>
      <c r="D3227" s="11"/>
      <c r="E3227" s="11"/>
      <c r="F3227" s="11"/>
      <c r="G3227" s="11"/>
      <c r="H3227" s="11"/>
      <c r="I3227" s="11"/>
      <c r="J3227" s="11"/>
      <c r="K3227" s="11"/>
      <c r="L3227" s="11"/>
      <c r="M3227" s="11"/>
      <c r="N3227" s="11"/>
      <c r="O3227" s="11"/>
      <c r="P3227" s="11"/>
      <c r="Q3227" s="11"/>
      <c r="R3227" s="11"/>
      <c r="S3227" s="11"/>
    </row>
    <row r="3228" spans="1:19" s="9" customFormat="1" x14ac:dyDescent="0.25">
      <c r="A3228" s="10"/>
      <c r="B3228" s="11"/>
      <c r="C3228" s="11"/>
      <c r="D3228" s="11"/>
      <c r="E3228" s="11"/>
      <c r="F3228" s="11"/>
      <c r="G3228" s="11"/>
      <c r="H3228" s="11"/>
      <c r="I3228" s="11"/>
      <c r="J3228" s="11"/>
      <c r="K3228" s="11"/>
      <c r="L3228" s="11"/>
      <c r="M3228" s="11"/>
      <c r="N3228" s="11"/>
      <c r="O3228" s="11"/>
      <c r="P3228" s="11"/>
      <c r="Q3228" s="11"/>
      <c r="R3228" s="11"/>
      <c r="S3228" s="11"/>
    </row>
    <row r="3229" spans="1:19" s="9" customFormat="1" x14ac:dyDescent="0.25">
      <c r="A3229" s="10"/>
      <c r="B3229" s="11"/>
      <c r="C3229" s="11"/>
      <c r="D3229" s="11"/>
      <c r="E3229" s="11"/>
      <c r="F3229" s="11"/>
      <c r="G3229" s="11"/>
      <c r="H3229" s="11"/>
      <c r="I3229" s="11"/>
      <c r="J3229" s="11"/>
      <c r="K3229" s="11"/>
      <c r="L3229" s="11"/>
      <c r="M3229" s="11"/>
      <c r="N3229" s="11"/>
      <c r="O3229" s="11"/>
      <c r="P3229" s="11"/>
      <c r="Q3229" s="11"/>
      <c r="R3229" s="11"/>
      <c r="S3229" s="11"/>
    </row>
    <row r="3230" spans="1:19" s="9" customFormat="1" x14ac:dyDescent="0.25">
      <c r="A3230" s="10"/>
      <c r="B3230" s="11"/>
      <c r="C3230" s="11"/>
      <c r="D3230" s="11"/>
      <c r="E3230" s="11"/>
      <c r="F3230" s="11"/>
      <c r="G3230" s="11"/>
      <c r="H3230" s="11"/>
      <c r="I3230" s="11"/>
      <c r="J3230" s="11"/>
      <c r="K3230" s="11"/>
      <c r="L3230" s="11"/>
      <c r="M3230" s="11"/>
      <c r="N3230" s="11"/>
      <c r="O3230" s="11"/>
      <c r="P3230" s="11"/>
      <c r="Q3230" s="11"/>
      <c r="R3230" s="11"/>
      <c r="S3230" s="11"/>
    </row>
    <row r="3231" spans="1:19" s="9" customFormat="1" x14ac:dyDescent="0.25">
      <c r="A3231" s="10"/>
      <c r="B3231" s="11"/>
      <c r="C3231" s="11"/>
      <c r="D3231" s="11"/>
      <c r="E3231" s="11"/>
      <c r="F3231" s="11"/>
      <c r="G3231" s="11"/>
      <c r="H3231" s="11"/>
      <c r="I3231" s="11"/>
      <c r="J3231" s="11"/>
      <c r="K3231" s="11"/>
      <c r="L3231" s="11"/>
      <c r="M3231" s="11"/>
      <c r="N3231" s="11"/>
      <c r="O3231" s="11"/>
      <c r="P3231" s="11"/>
      <c r="Q3231" s="11"/>
      <c r="R3231" s="11"/>
      <c r="S3231" s="11"/>
    </row>
    <row r="3232" spans="1:19" s="9" customFormat="1" x14ac:dyDescent="0.25">
      <c r="A3232" s="10"/>
      <c r="B3232" s="11"/>
      <c r="C3232" s="11"/>
      <c r="D3232" s="11"/>
      <c r="E3232" s="11"/>
      <c r="F3232" s="11"/>
      <c r="G3232" s="11"/>
      <c r="H3232" s="11"/>
      <c r="I3232" s="11"/>
      <c r="J3232" s="11"/>
      <c r="K3232" s="11"/>
      <c r="L3232" s="11"/>
      <c r="M3232" s="11"/>
      <c r="N3232" s="11"/>
      <c r="O3232" s="11"/>
      <c r="P3232" s="11"/>
      <c r="Q3232" s="11"/>
      <c r="R3232" s="11"/>
      <c r="S3232" s="11"/>
    </row>
    <row r="3233" spans="1:19" s="9" customFormat="1" x14ac:dyDescent="0.25">
      <c r="A3233" s="10"/>
      <c r="B3233" s="11"/>
      <c r="C3233" s="11"/>
      <c r="D3233" s="11"/>
      <c r="E3233" s="11"/>
      <c r="F3233" s="11"/>
      <c r="G3233" s="11"/>
      <c r="H3233" s="11"/>
      <c r="I3233" s="11"/>
      <c r="J3233" s="11"/>
      <c r="K3233" s="11"/>
      <c r="L3233" s="11"/>
      <c r="M3233" s="11"/>
      <c r="N3233" s="11"/>
      <c r="O3233" s="11"/>
      <c r="P3233" s="11"/>
      <c r="Q3233" s="11"/>
      <c r="R3233" s="11"/>
      <c r="S3233" s="11"/>
    </row>
    <row r="3234" spans="1:19" s="9" customFormat="1" x14ac:dyDescent="0.25">
      <c r="A3234" s="10"/>
      <c r="B3234" s="11"/>
      <c r="C3234" s="11"/>
      <c r="D3234" s="11"/>
      <c r="E3234" s="11"/>
      <c r="F3234" s="11"/>
      <c r="G3234" s="11"/>
      <c r="H3234" s="11"/>
      <c r="I3234" s="11"/>
      <c r="J3234" s="11"/>
      <c r="K3234" s="11"/>
      <c r="L3234" s="11"/>
      <c r="M3234" s="11"/>
      <c r="N3234" s="11"/>
      <c r="O3234" s="11"/>
      <c r="P3234" s="11"/>
      <c r="Q3234" s="11"/>
      <c r="R3234" s="11"/>
      <c r="S3234" s="11"/>
    </row>
    <row r="3235" spans="1:19" s="9" customFormat="1" x14ac:dyDescent="0.25">
      <c r="A3235" s="10"/>
      <c r="B3235" s="11"/>
      <c r="C3235" s="11"/>
      <c r="D3235" s="11"/>
      <c r="E3235" s="11"/>
      <c r="F3235" s="11"/>
      <c r="G3235" s="11"/>
      <c r="H3235" s="11"/>
      <c r="I3235" s="11"/>
      <c r="J3235" s="11"/>
      <c r="K3235" s="11"/>
      <c r="L3235" s="11"/>
      <c r="M3235" s="11"/>
      <c r="N3235" s="11"/>
      <c r="O3235" s="11"/>
      <c r="P3235" s="11"/>
      <c r="Q3235" s="11"/>
      <c r="R3235" s="11"/>
      <c r="S3235" s="11"/>
    </row>
    <row r="3236" spans="1:19" s="9" customFormat="1" x14ac:dyDescent="0.25">
      <c r="A3236" s="10"/>
      <c r="B3236" s="11"/>
      <c r="C3236" s="11"/>
      <c r="D3236" s="11"/>
      <c r="E3236" s="11"/>
      <c r="F3236" s="11"/>
      <c r="G3236" s="11"/>
      <c r="H3236" s="11"/>
      <c r="I3236" s="11"/>
      <c r="J3236" s="11"/>
      <c r="K3236" s="11"/>
      <c r="L3236" s="11"/>
      <c r="M3236" s="11"/>
      <c r="N3236" s="11"/>
      <c r="O3236" s="11"/>
      <c r="P3236" s="11"/>
      <c r="Q3236" s="11"/>
      <c r="R3236" s="11"/>
      <c r="S3236" s="11"/>
    </row>
    <row r="3237" spans="1:19" s="9" customFormat="1" x14ac:dyDescent="0.25">
      <c r="A3237" s="10"/>
      <c r="B3237" s="11"/>
      <c r="C3237" s="11"/>
      <c r="D3237" s="11"/>
      <c r="E3237" s="11"/>
      <c r="F3237" s="11"/>
      <c r="G3237" s="11"/>
      <c r="H3237" s="11"/>
      <c r="I3237" s="11"/>
      <c r="J3237" s="11"/>
      <c r="K3237" s="11"/>
      <c r="L3237" s="11"/>
      <c r="M3237" s="11"/>
      <c r="N3237" s="11"/>
      <c r="O3237" s="11"/>
      <c r="P3237" s="11"/>
      <c r="Q3237" s="11"/>
      <c r="R3237" s="11"/>
      <c r="S3237" s="11"/>
    </row>
    <row r="3238" spans="1:19" s="9" customFormat="1" x14ac:dyDescent="0.25">
      <c r="A3238" s="10"/>
      <c r="B3238" s="11"/>
      <c r="C3238" s="11"/>
      <c r="D3238" s="11"/>
      <c r="E3238" s="11"/>
      <c r="F3238" s="11"/>
      <c r="G3238" s="11"/>
      <c r="H3238" s="11"/>
      <c r="I3238" s="11"/>
      <c r="J3238" s="11"/>
      <c r="K3238" s="11"/>
      <c r="L3238" s="11"/>
      <c r="M3238" s="11"/>
      <c r="N3238" s="11"/>
      <c r="O3238" s="11"/>
      <c r="P3238" s="11"/>
      <c r="Q3238" s="11"/>
      <c r="R3238" s="11"/>
      <c r="S3238" s="11"/>
    </row>
    <row r="3239" spans="1:19" s="9" customFormat="1" x14ac:dyDescent="0.25">
      <c r="A3239" s="10"/>
      <c r="B3239" s="11"/>
      <c r="C3239" s="11"/>
      <c r="D3239" s="11"/>
      <c r="E3239" s="11"/>
      <c r="F3239" s="11"/>
      <c r="G3239" s="11"/>
      <c r="H3239" s="11"/>
      <c r="I3239" s="11"/>
      <c r="J3239" s="11"/>
      <c r="K3239" s="11"/>
      <c r="L3239" s="11"/>
      <c r="M3239" s="11"/>
      <c r="N3239" s="11"/>
      <c r="O3239" s="11"/>
      <c r="P3239" s="11"/>
      <c r="Q3239" s="11"/>
      <c r="R3239" s="11"/>
      <c r="S3239" s="11"/>
    </row>
    <row r="3240" spans="1:19" s="9" customFormat="1" x14ac:dyDescent="0.25">
      <c r="A3240" s="10"/>
      <c r="B3240" s="11"/>
      <c r="C3240" s="11"/>
      <c r="D3240" s="11"/>
      <c r="E3240" s="11"/>
      <c r="F3240" s="11"/>
      <c r="G3240" s="11"/>
      <c r="H3240" s="11"/>
      <c r="I3240" s="11"/>
      <c r="J3240" s="11"/>
      <c r="K3240" s="11"/>
      <c r="L3240" s="11"/>
      <c r="M3240" s="11"/>
      <c r="N3240" s="11"/>
      <c r="O3240" s="11"/>
      <c r="P3240" s="11"/>
      <c r="Q3240" s="11"/>
      <c r="R3240" s="11"/>
      <c r="S3240" s="11"/>
    </row>
    <row r="3241" spans="1:19" s="9" customFormat="1" x14ac:dyDescent="0.25">
      <c r="A3241" s="10"/>
      <c r="B3241" s="11"/>
      <c r="C3241" s="11"/>
      <c r="D3241" s="11"/>
      <c r="E3241" s="11"/>
      <c r="F3241" s="11"/>
      <c r="G3241" s="11"/>
      <c r="H3241" s="11"/>
      <c r="I3241" s="11"/>
      <c r="J3241" s="11"/>
      <c r="K3241" s="11"/>
      <c r="L3241" s="11"/>
      <c r="M3241" s="11"/>
      <c r="N3241" s="11"/>
      <c r="O3241" s="11"/>
      <c r="P3241" s="11"/>
      <c r="Q3241" s="11"/>
      <c r="R3241" s="11"/>
      <c r="S3241" s="11"/>
    </row>
    <row r="3242" spans="1:19" s="9" customFormat="1" x14ac:dyDescent="0.25">
      <c r="A3242" s="10"/>
      <c r="B3242" s="11"/>
      <c r="C3242" s="11"/>
      <c r="D3242" s="11"/>
      <c r="E3242" s="11"/>
      <c r="F3242" s="11"/>
      <c r="G3242" s="11"/>
      <c r="H3242" s="11"/>
      <c r="I3242" s="11"/>
      <c r="J3242" s="11"/>
      <c r="K3242" s="11"/>
      <c r="L3242" s="11"/>
      <c r="M3242" s="11"/>
      <c r="N3242" s="11"/>
      <c r="O3242" s="11"/>
      <c r="P3242" s="11"/>
      <c r="Q3242" s="11"/>
      <c r="R3242" s="11"/>
      <c r="S3242" s="11"/>
    </row>
    <row r="3243" spans="1:19" s="9" customFormat="1" x14ac:dyDescent="0.25">
      <c r="A3243" s="10"/>
      <c r="B3243" s="11"/>
      <c r="C3243" s="11"/>
      <c r="D3243" s="11"/>
      <c r="E3243" s="11"/>
      <c r="F3243" s="11"/>
      <c r="G3243" s="11"/>
      <c r="H3243" s="11"/>
      <c r="I3243" s="11"/>
      <c r="J3243" s="11"/>
      <c r="K3243" s="11"/>
      <c r="L3243" s="11"/>
      <c r="M3243" s="11"/>
      <c r="N3243" s="11"/>
      <c r="O3243" s="11"/>
      <c r="P3243" s="11"/>
      <c r="Q3243" s="11"/>
      <c r="R3243" s="11"/>
      <c r="S3243" s="11"/>
    </row>
    <row r="3244" spans="1:19" s="9" customFormat="1" x14ac:dyDescent="0.25">
      <c r="A3244" s="10"/>
      <c r="B3244" s="11"/>
      <c r="C3244" s="11"/>
      <c r="D3244" s="11"/>
      <c r="E3244" s="11"/>
      <c r="F3244" s="11"/>
      <c r="G3244" s="11"/>
      <c r="H3244" s="11"/>
      <c r="I3244" s="11"/>
      <c r="J3244" s="11"/>
      <c r="K3244" s="11"/>
      <c r="L3244" s="11"/>
      <c r="M3244" s="11"/>
      <c r="N3244" s="11"/>
      <c r="O3244" s="11"/>
      <c r="P3244" s="11"/>
      <c r="Q3244" s="11"/>
      <c r="R3244" s="11"/>
      <c r="S3244" s="11"/>
    </row>
    <row r="3245" spans="1:19" s="9" customFormat="1" x14ac:dyDescent="0.25">
      <c r="A3245" s="10"/>
      <c r="B3245" s="11"/>
      <c r="C3245" s="11"/>
      <c r="D3245" s="11"/>
      <c r="E3245" s="11"/>
      <c r="F3245" s="11"/>
      <c r="G3245" s="11"/>
      <c r="H3245" s="11"/>
      <c r="I3245" s="11"/>
      <c r="J3245" s="11"/>
      <c r="K3245" s="11"/>
      <c r="L3245" s="11"/>
      <c r="M3245" s="11"/>
      <c r="N3245" s="11"/>
      <c r="O3245" s="11"/>
      <c r="P3245" s="11"/>
      <c r="Q3245" s="11"/>
      <c r="R3245" s="11"/>
      <c r="S3245" s="11"/>
    </row>
    <row r="3246" spans="1:19" s="9" customFormat="1" x14ac:dyDescent="0.25">
      <c r="A3246" s="10"/>
      <c r="B3246" s="11"/>
      <c r="C3246" s="11"/>
      <c r="D3246" s="11"/>
      <c r="E3246" s="11"/>
      <c r="F3246" s="11"/>
      <c r="G3246" s="11"/>
      <c r="H3246" s="11"/>
      <c r="I3246" s="11"/>
      <c r="J3246" s="11"/>
      <c r="K3246" s="11"/>
      <c r="L3246" s="11"/>
      <c r="M3246" s="11"/>
      <c r="N3246" s="11"/>
      <c r="O3246" s="11"/>
      <c r="P3246" s="11"/>
      <c r="Q3246" s="11"/>
      <c r="R3246" s="11"/>
      <c r="S3246" s="11"/>
    </row>
    <row r="3247" spans="1:19" s="9" customFormat="1" x14ac:dyDescent="0.25">
      <c r="A3247" s="10"/>
      <c r="B3247" s="11"/>
      <c r="C3247" s="11"/>
      <c r="D3247" s="11"/>
      <c r="E3247" s="11"/>
      <c r="F3247" s="11"/>
      <c r="G3247" s="11"/>
      <c r="H3247" s="11"/>
      <c r="I3247" s="11"/>
      <c r="J3247" s="11"/>
      <c r="K3247" s="11"/>
      <c r="L3247" s="11"/>
      <c r="M3247" s="11"/>
      <c r="N3247" s="11"/>
      <c r="O3247" s="11"/>
      <c r="P3247" s="11"/>
      <c r="Q3247" s="11"/>
      <c r="R3247" s="11"/>
      <c r="S3247" s="11"/>
    </row>
    <row r="3248" spans="1:19" s="9" customFormat="1" x14ac:dyDescent="0.25">
      <c r="A3248" s="10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  <c r="O3248" s="11"/>
      <c r="P3248" s="11"/>
      <c r="Q3248" s="11"/>
      <c r="R3248" s="11"/>
      <c r="S3248" s="11"/>
    </row>
    <row r="3249" spans="1:19" s="9" customFormat="1" x14ac:dyDescent="0.25">
      <c r="A3249" s="10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  <c r="O3249" s="11"/>
      <c r="P3249" s="11"/>
      <c r="Q3249" s="11"/>
      <c r="R3249" s="11"/>
      <c r="S3249" s="11"/>
    </row>
    <row r="3250" spans="1:19" s="9" customFormat="1" x14ac:dyDescent="0.25">
      <c r="A3250" s="10"/>
      <c r="B3250" s="11"/>
      <c r="C3250" s="11"/>
      <c r="D3250" s="11"/>
      <c r="E3250" s="11"/>
      <c r="F3250" s="11"/>
      <c r="G3250" s="11"/>
      <c r="H3250" s="11"/>
      <c r="I3250" s="11"/>
      <c r="J3250" s="11"/>
      <c r="K3250" s="11"/>
      <c r="L3250" s="11"/>
      <c r="M3250" s="11"/>
      <c r="N3250" s="11"/>
      <c r="O3250" s="11"/>
      <c r="P3250" s="11"/>
      <c r="Q3250" s="11"/>
      <c r="R3250" s="11"/>
      <c r="S3250" s="11"/>
    </row>
    <row r="3251" spans="1:19" s="9" customFormat="1" x14ac:dyDescent="0.25">
      <c r="A3251" s="10"/>
      <c r="B3251" s="11"/>
      <c r="C3251" s="11"/>
      <c r="D3251" s="11"/>
      <c r="E3251" s="11"/>
      <c r="F3251" s="11"/>
      <c r="G3251" s="11"/>
      <c r="H3251" s="11"/>
      <c r="I3251" s="11"/>
      <c r="J3251" s="11"/>
      <c r="K3251" s="11"/>
      <c r="L3251" s="11"/>
      <c r="M3251" s="11"/>
      <c r="N3251" s="11"/>
      <c r="O3251" s="11"/>
      <c r="P3251" s="11"/>
      <c r="Q3251" s="11"/>
      <c r="R3251" s="11"/>
      <c r="S3251" s="11"/>
    </row>
    <row r="3252" spans="1:19" s="9" customFormat="1" x14ac:dyDescent="0.25">
      <c r="A3252" s="10"/>
      <c r="B3252" s="11"/>
      <c r="C3252" s="11"/>
      <c r="D3252" s="11"/>
      <c r="E3252" s="11"/>
      <c r="F3252" s="11"/>
      <c r="G3252" s="11"/>
      <c r="H3252" s="11"/>
      <c r="I3252" s="11"/>
      <c r="J3252" s="11"/>
      <c r="K3252" s="11"/>
      <c r="L3252" s="11"/>
      <c r="M3252" s="11"/>
      <c r="N3252" s="11"/>
      <c r="O3252" s="11"/>
      <c r="P3252" s="11"/>
      <c r="Q3252" s="11"/>
      <c r="R3252" s="11"/>
      <c r="S3252" s="11"/>
    </row>
    <row r="3253" spans="1:19" s="9" customFormat="1" x14ac:dyDescent="0.25">
      <c r="A3253" s="10"/>
      <c r="B3253" s="11"/>
      <c r="C3253" s="11"/>
      <c r="D3253" s="11"/>
      <c r="E3253" s="11"/>
      <c r="F3253" s="11"/>
      <c r="G3253" s="11"/>
      <c r="H3253" s="11"/>
      <c r="I3253" s="11"/>
      <c r="J3253" s="11"/>
      <c r="K3253" s="11"/>
      <c r="L3253" s="11"/>
      <c r="M3253" s="11"/>
      <c r="N3253" s="11"/>
      <c r="O3253" s="11"/>
      <c r="P3253" s="11"/>
      <c r="Q3253" s="11"/>
      <c r="R3253" s="11"/>
      <c r="S3253" s="11"/>
    </row>
    <row r="3254" spans="1:19" s="9" customFormat="1" x14ac:dyDescent="0.25">
      <c r="A3254" s="10"/>
      <c r="B3254" s="11"/>
      <c r="C3254" s="11"/>
      <c r="D3254" s="11"/>
      <c r="E3254" s="11"/>
      <c r="F3254" s="11"/>
      <c r="G3254" s="11"/>
      <c r="H3254" s="11"/>
      <c r="I3254" s="11"/>
      <c r="J3254" s="11"/>
      <c r="K3254" s="11"/>
      <c r="L3254" s="11"/>
      <c r="M3254" s="11"/>
      <c r="N3254" s="11"/>
      <c r="O3254" s="11"/>
      <c r="P3254" s="11"/>
      <c r="Q3254" s="11"/>
      <c r="R3254" s="11"/>
      <c r="S3254" s="11"/>
    </row>
    <row r="3255" spans="1:19" s="9" customFormat="1" x14ac:dyDescent="0.25">
      <c r="A3255" s="10"/>
      <c r="B3255" s="11"/>
      <c r="C3255" s="11"/>
      <c r="D3255" s="11"/>
      <c r="E3255" s="11"/>
      <c r="F3255" s="11"/>
      <c r="G3255" s="11"/>
      <c r="H3255" s="11"/>
      <c r="I3255" s="11"/>
      <c r="J3255" s="11"/>
      <c r="K3255" s="11"/>
      <c r="L3255" s="11"/>
      <c r="M3255" s="11"/>
      <c r="N3255" s="11"/>
      <c r="O3255" s="11"/>
      <c r="P3255" s="11"/>
      <c r="Q3255" s="11"/>
      <c r="R3255" s="11"/>
      <c r="S3255" s="11"/>
    </row>
    <row r="3256" spans="1:19" s="9" customFormat="1" x14ac:dyDescent="0.25">
      <c r="A3256" s="10"/>
      <c r="B3256" s="11"/>
      <c r="C3256" s="11"/>
      <c r="D3256" s="11"/>
      <c r="E3256" s="11"/>
      <c r="F3256" s="11"/>
      <c r="G3256" s="11"/>
      <c r="H3256" s="11"/>
      <c r="I3256" s="11"/>
      <c r="J3256" s="11"/>
      <c r="K3256" s="11"/>
      <c r="L3256" s="11"/>
      <c r="M3256" s="11"/>
      <c r="N3256" s="11"/>
      <c r="O3256" s="11"/>
      <c r="P3256" s="11"/>
      <c r="Q3256" s="11"/>
      <c r="R3256" s="11"/>
      <c r="S3256" s="11"/>
    </row>
    <row r="3257" spans="1:19" s="9" customFormat="1" x14ac:dyDescent="0.25">
      <c r="A3257" s="10"/>
      <c r="B3257" s="11"/>
      <c r="C3257" s="11"/>
      <c r="D3257" s="11"/>
      <c r="E3257" s="11"/>
      <c r="F3257" s="11"/>
      <c r="G3257" s="11"/>
      <c r="H3257" s="11"/>
      <c r="I3257" s="11"/>
      <c r="J3257" s="11"/>
      <c r="K3257" s="11"/>
      <c r="L3257" s="11"/>
      <c r="M3257" s="11"/>
      <c r="N3257" s="11"/>
      <c r="O3257" s="11"/>
      <c r="P3257" s="11"/>
      <c r="Q3257" s="11"/>
      <c r="R3257" s="11"/>
      <c r="S3257" s="11"/>
    </row>
    <row r="3258" spans="1:19" s="9" customFormat="1" x14ac:dyDescent="0.25">
      <c r="A3258" s="10"/>
      <c r="B3258" s="11"/>
      <c r="C3258" s="11"/>
      <c r="D3258" s="11"/>
      <c r="E3258" s="11"/>
      <c r="F3258" s="11"/>
      <c r="G3258" s="11"/>
      <c r="H3258" s="11"/>
      <c r="I3258" s="11"/>
      <c r="J3258" s="11"/>
      <c r="K3258" s="11"/>
      <c r="L3258" s="11"/>
      <c r="M3258" s="11"/>
      <c r="N3258" s="11"/>
      <c r="O3258" s="11"/>
      <c r="P3258" s="11"/>
      <c r="Q3258" s="11"/>
      <c r="R3258" s="11"/>
      <c r="S3258" s="11"/>
    </row>
    <row r="3259" spans="1:19" s="9" customFormat="1" x14ac:dyDescent="0.25">
      <c r="A3259" s="10"/>
      <c r="B3259" s="11"/>
      <c r="C3259" s="11"/>
      <c r="D3259" s="11"/>
      <c r="E3259" s="11"/>
      <c r="F3259" s="11"/>
      <c r="G3259" s="11"/>
      <c r="H3259" s="11"/>
      <c r="I3259" s="11"/>
      <c r="J3259" s="11"/>
      <c r="K3259" s="11"/>
      <c r="L3259" s="11"/>
      <c r="M3259" s="11"/>
      <c r="N3259" s="11"/>
      <c r="O3259" s="11"/>
      <c r="P3259" s="11"/>
      <c r="Q3259" s="11"/>
      <c r="R3259" s="11"/>
      <c r="S3259" s="11"/>
    </row>
    <row r="3260" spans="1:19" s="9" customFormat="1" x14ac:dyDescent="0.25">
      <c r="A3260" s="10"/>
      <c r="B3260" s="11"/>
      <c r="C3260" s="11"/>
      <c r="D3260" s="11"/>
      <c r="E3260" s="11"/>
      <c r="F3260" s="11"/>
      <c r="G3260" s="11"/>
      <c r="H3260" s="11"/>
      <c r="I3260" s="11"/>
      <c r="J3260" s="11"/>
      <c r="K3260" s="11"/>
      <c r="L3260" s="11"/>
      <c r="M3260" s="11"/>
      <c r="N3260" s="11"/>
      <c r="O3260" s="11"/>
      <c r="P3260" s="11"/>
      <c r="Q3260" s="11"/>
      <c r="R3260" s="11"/>
      <c r="S3260" s="11"/>
    </row>
    <row r="3261" spans="1:19" s="9" customFormat="1" x14ac:dyDescent="0.25">
      <c r="A3261" s="10"/>
      <c r="B3261" s="11"/>
      <c r="C3261" s="11"/>
      <c r="D3261" s="11"/>
      <c r="E3261" s="11"/>
      <c r="F3261" s="11"/>
      <c r="G3261" s="11"/>
      <c r="H3261" s="11"/>
      <c r="I3261" s="11"/>
      <c r="J3261" s="11"/>
      <c r="K3261" s="11"/>
      <c r="L3261" s="11"/>
      <c r="M3261" s="11"/>
      <c r="N3261" s="11"/>
      <c r="O3261" s="11"/>
      <c r="P3261" s="11"/>
      <c r="Q3261" s="11"/>
      <c r="R3261" s="11"/>
      <c r="S3261" s="11"/>
    </row>
    <row r="3262" spans="1:19" s="9" customFormat="1" x14ac:dyDescent="0.25">
      <c r="A3262" s="10"/>
      <c r="B3262" s="11"/>
      <c r="C3262" s="11"/>
      <c r="D3262" s="11"/>
      <c r="E3262" s="11"/>
      <c r="F3262" s="11"/>
      <c r="G3262" s="11"/>
      <c r="H3262" s="11"/>
      <c r="I3262" s="11"/>
      <c r="J3262" s="11"/>
      <c r="K3262" s="11"/>
      <c r="L3262" s="11"/>
      <c r="M3262" s="11"/>
      <c r="N3262" s="11"/>
      <c r="O3262" s="11"/>
      <c r="P3262" s="11"/>
      <c r="Q3262" s="11"/>
      <c r="R3262" s="11"/>
      <c r="S3262" s="11"/>
    </row>
    <row r="3263" spans="1:19" s="9" customFormat="1" x14ac:dyDescent="0.25">
      <c r="A3263" s="10"/>
      <c r="B3263" s="11"/>
      <c r="C3263" s="11"/>
      <c r="D3263" s="11"/>
      <c r="E3263" s="11"/>
      <c r="F3263" s="11"/>
      <c r="G3263" s="11"/>
      <c r="H3263" s="11"/>
      <c r="I3263" s="11"/>
      <c r="J3263" s="11"/>
      <c r="K3263" s="11"/>
      <c r="L3263" s="11"/>
      <c r="M3263" s="11"/>
      <c r="N3263" s="11"/>
      <c r="O3263" s="11"/>
      <c r="P3263" s="11"/>
      <c r="Q3263" s="11"/>
      <c r="R3263" s="11"/>
      <c r="S3263" s="11"/>
    </row>
    <row r="3264" spans="1:19" s="9" customFormat="1" x14ac:dyDescent="0.25">
      <c r="A3264" s="10"/>
      <c r="B3264" s="11"/>
      <c r="C3264" s="11"/>
      <c r="D3264" s="11"/>
      <c r="E3264" s="11"/>
      <c r="F3264" s="11"/>
      <c r="G3264" s="11"/>
      <c r="H3264" s="11"/>
      <c r="I3264" s="11"/>
      <c r="J3264" s="11"/>
      <c r="K3264" s="11"/>
      <c r="L3264" s="11"/>
      <c r="M3264" s="11"/>
      <c r="N3264" s="11"/>
      <c r="O3264" s="11"/>
      <c r="P3264" s="11"/>
      <c r="Q3264" s="11"/>
      <c r="R3264" s="11"/>
      <c r="S3264" s="11"/>
    </row>
    <row r="3265" spans="1:19" s="9" customFormat="1" x14ac:dyDescent="0.25">
      <c r="A3265" s="10"/>
      <c r="B3265" s="11"/>
      <c r="C3265" s="11"/>
      <c r="D3265" s="11"/>
      <c r="E3265" s="11"/>
      <c r="F3265" s="11"/>
      <c r="G3265" s="11"/>
      <c r="H3265" s="11"/>
      <c r="I3265" s="11"/>
      <c r="J3265" s="11"/>
      <c r="K3265" s="11"/>
      <c r="L3265" s="11"/>
      <c r="M3265" s="11"/>
      <c r="N3265" s="11"/>
      <c r="O3265" s="11"/>
      <c r="P3265" s="11"/>
      <c r="Q3265" s="11"/>
      <c r="R3265" s="11"/>
      <c r="S3265" s="11"/>
    </row>
    <row r="3266" spans="1:19" s="9" customFormat="1" x14ac:dyDescent="0.25">
      <c r="A3266" s="10"/>
      <c r="B3266" s="11"/>
      <c r="C3266" s="11"/>
      <c r="D3266" s="11"/>
      <c r="E3266" s="11"/>
      <c r="F3266" s="11"/>
      <c r="G3266" s="11"/>
      <c r="H3266" s="11"/>
      <c r="I3266" s="11"/>
      <c r="J3266" s="11"/>
      <c r="K3266" s="11"/>
      <c r="L3266" s="11"/>
      <c r="M3266" s="11"/>
      <c r="N3266" s="11"/>
      <c r="O3266" s="11"/>
      <c r="P3266" s="11"/>
      <c r="Q3266" s="11"/>
      <c r="R3266" s="11"/>
      <c r="S3266" s="11"/>
    </row>
    <row r="3267" spans="1:19" s="9" customFormat="1" x14ac:dyDescent="0.25">
      <c r="A3267" s="10"/>
      <c r="B3267" s="11"/>
      <c r="C3267" s="11"/>
      <c r="D3267" s="11"/>
      <c r="E3267" s="11"/>
      <c r="F3267" s="11"/>
      <c r="G3267" s="11"/>
      <c r="H3267" s="11"/>
      <c r="I3267" s="11"/>
      <c r="J3267" s="11"/>
      <c r="K3267" s="11"/>
      <c r="L3267" s="11"/>
      <c r="M3267" s="11"/>
      <c r="N3267" s="11"/>
      <c r="O3267" s="11"/>
      <c r="P3267" s="11"/>
      <c r="Q3267" s="11"/>
      <c r="R3267" s="11"/>
      <c r="S3267" s="11"/>
    </row>
    <row r="3268" spans="1:19" s="9" customFormat="1" x14ac:dyDescent="0.25">
      <c r="A3268" s="10"/>
      <c r="B3268" s="11"/>
      <c r="C3268" s="11"/>
      <c r="D3268" s="11"/>
      <c r="E3268" s="11"/>
      <c r="F3268" s="11"/>
      <c r="G3268" s="11"/>
      <c r="H3268" s="11"/>
      <c r="I3268" s="11"/>
      <c r="J3268" s="11"/>
      <c r="K3268" s="11"/>
      <c r="L3268" s="11"/>
      <c r="M3268" s="11"/>
      <c r="N3268" s="11"/>
      <c r="O3268" s="11"/>
      <c r="P3268" s="11"/>
      <c r="Q3268" s="11"/>
      <c r="R3268" s="11"/>
      <c r="S3268" s="11"/>
    </row>
    <row r="3269" spans="1:19" s="9" customFormat="1" x14ac:dyDescent="0.25">
      <c r="A3269" s="10"/>
      <c r="B3269" s="11"/>
      <c r="C3269" s="11"/>
      <c r="D3269" s="11"/>
      <c r="E3269" s="11"/>
      <c r="F3269" s="11"/>
      <c r="G3269" s="11"/>
      <c r="H3269" s="11"/>
      <c r="I3269" s="11"/>
      <c r="J3269" s="11"/>
      <c r="K3269" s="11"/>
      <c r="L3269" s="11"/>
      <c r="M3269" s="11"/>
      <c r="N3269" s="11"/>
      <c r="O3269" s="11"/>
      <c r="P3269" s="11"/>
      <c r="Q3269" s="11"/>
      <c r="R3269" s="11"/>
      <c r="S3269" s="11"/>
    </row>
    <row r="3270" spans="1:19" s="9" customFormat="1" x14ac:dyDescent="0.25">
      <c r="A3270" s="10"/>
      <c r="B3270" s="11"/>
      <c r="C3270" s="11"/>
      <c r="D3270" s="11"/>
      <c r="E3270" s="11"/>
      <c r="F3270" s="11"/>
      <c r="G3270" s="11"/>
      <c r="H3270" s="11"/>
      <c r="I3270" s="11"/>
      <c r="J3270" s="11"/>
      <c r="K3270" s="11"/>
      <c r="L3270" s="11"/>
      <c r="M3270" s="11"/>
      <c r="N3270" s="11"/>
      <c r="O3270" s="11"/>
      <c r="P3270" s="11"/>
      <c r="Q3270" s="11"/>
      <c r="R3270" s="11"/>
      <c r="S3270" s="11"/>
    </row>
    <row r="3271" spans="1:19" s="9" customFormat="1" x14ac:dyDescent="0.25">
      <c r="A3271" s="10"/>
      <c r="B3271" s="11"/>
      <c r="C3271" s="11"/>
      <c r="D3271" s="11"/>
      <c r="E3271" s="11"/>
      <c r="F3271" s="11"/>
      <c r="G3271" s="11"/>
      <c r="H3271" s="11"/>
      <c r="I3271" s="11"/>
      <c r="J3271" s="11"/>
      <c r="K3271" s="11"/>
      <c r="L3271" s="11"/>
      <c r="M3271" s="11"/>
      <c r="N3271" s="11"/>
      <c r="O3271" s="11"/>
      <c r="P3271" s="11"/>
      <c r="Q3271" s="11"/>
      <c r="R3271" s="11"/>
      <c r="S3271" s="11"/>
    </row>
    <row r="3272" spans="1:19" s="9" customFormat="1" x14ac:dyDescent="0.25">
      <c r="A3272" s="10"/>
      <c r="B3272" s="11"/>
      <c r="C3272" s="11"/>
      <c r="D3272" s="11"/>
      <c r="E3272" s="11"/>
      <c r="F3272" s="11"/>
      <c r="G3272" s="11"/>
      <c r="H3272" s="11"/>
      <c r="I3272" s="11"/>
      <c r="J3272" s="11"/>
      <c r="K3272" s="11"/>
      <c r="L3272" s="11"/>
      <c r="M3272" s="11"/>
      <c r="N3272" s="11"/>
      <c r="O3272" s="11"/>
      <c r="P3272" s="11"/>
      <c r="Q3272" s="11"/>
      <c r="R3272" s="11"/>
      <c r="S3272" s="11"/>
    </row>
    <row r="3273" spans="1:19" s="9" customFormat="1" x14ac:dyDescent="0.25">
      <c r="A3273" s="10"/>
      <c r="B3273" s="11"/>
      <c r="C3273" s="11"/>
      <c r="D3273" s="11"/>
      <c r="E3273" s="11"/>
      <c r="F3273" s="11"/>
      <c r="G3273" s="11"/>
      <c r="H3273" s="11"/>
      <c r="I3273" s="11"/>
      <c r="J3273" s="11"/>
      <c r="K3273" s="11"/>
      <c r="L3273" s="11"/>
      <c r="M3273" s="11"/>
      <c r="N3273" s="11"/>
      <c r="O3273" s="11"/>
      <c r="P3273" s="11"/>
      <c r="Q3273" s="11"/>
      <c r="R3273" s="11"/>
      <c r="S3273" s="11"/>
    </row>
    <row r="3274" spans="1:19" s="9" customFormat="1" x14ac:dyDescent="0.25">
      <c r="A3274" s="10"/>
      <c r="B3274" s="11"/>
      <c r="C3274" s="11"/>
      <c r="D3274" s="11"/>
      <c r="E3274" s="11"/>
      <c r="F3274" s="11"/>
      <c r="G3274" s="11"/>
      <c r="H3274" s="11"/>
      <c r="I3274" s="11"/>
      <c r="J3274" s="11"/>
      <c r="K3274" s="11"/>
      <c r="L3274" s="11"/>
      <c r="M3274" s="11"/>
      <c r="N3274" s="11"/>
      <c r="O3274" s="11"/>
      <c r="P3274" s="11"/>
      <c r="Q3274" s="11"/>
      <c r="R3274" s="11"/>
      <c r="S3274" s="11"/>
    </row>
    <row r="3275" spans="1:19" s="9" customFormat="1" x14ac:dyDescent="0.25">
      <c r="A3275" s="10"/>
      <c r="B3275" s="11"/>
      <c r="C3275" s="11"/>
      <c r="D3275" s="11"/>
      <c r="E3275" s="11"/>
      <c r="F3275" s="11"/>
      <c r="G3275" s="11"/>
      <c r="H3275" s="11"/>
      <c r="I3275" s="11"/>
      <c r="J3275" s="11"/>
      <c r="K3275" s="11"/>
      <c r="L3275" s="11"/>
      <c r="M3275" s="11"/>
      <c r="N3275" s="11"/>
      <c r="O3275" s="11"/>
      <c r="P3275" s="11"/>
      <c r="Q3275" s="11"/>
      <c r="R3275" s="11"/>
      <c r="S3275" s="11"/>
    </row>
    <row r="3276" spans="1:19" s="9" customFormat="1" x14ac:dyDescent="0.25">
      <c r="A3276" s="10"/>
      <c r="B3276" s="11"/>
      <c r="C3276" s="11"/>
      <c r="D3276" s="11"/>
      <c r="E3276" s="11"/>
      <c r="F3276" s="11"/>
      <c r="G3276" s="11"/>
      <c r="H3276" s="11"/>
      <c r="I3276" s="11"/>
      <c r="J3276" s="11"/>
      <c r="K3276" s="11"/>
      <c r="L3276" s="11"/>
      <c r="M3276" s="11"/>
      <c r="N3276" s="11"/>
      <c r="O3276" s="11"/>
      <c r="P3276" s="11"/>
      <c r="Q3276" s="11"/>
      <c r="R3276" s="11"/>
      <c r="S3276" s="11"/>
    </row>
    <row r="3277" spans="1:19" s="9" customFormat="1" x14ac:dyDescent="0.25">
      <c r="A3277" s="10"/>
      <c r="B3277" s="11"/>
      <c r="C3277" s="11"/>
      <c r="D3277" s="11"/>
      <c r="E3277" s="11"/>
      <c r="F3277" s="11"/>
      <c r="G3277" s="11"/>
      <c r="H3277" s="11"/>
      <c r="I3277" s="11"/>
      <c r="J3277" s="11"/>
      <c r="K3277" s="11"/>
      <c r="L3277" s="11"/>
      <c r="M3277" s="11"/>
      <c r="N3277" s="11"/>
      <c r="O3277" s="11"/>
      <c r="P3277" s="11"/>
      <c r="Q3277" s="11"/>
      <c r="R3277" s="11"/>
      <c r="S3277" s="11"/>
    </row>
    <row r="3278" spans="1:19" s="9" customFormat="1" x14ac:dyDescent="0.25">
      <c r="A3278" s="10"/>
      <c r="B3278" s="11"/>
      <c r="C3278" s="11"/>
      <c r="D3278" s="11"/>
      <c r="E3278" s="11"/>
      <c r="F3278" s="11"/>
      <c r="G3278" s="11"/>
      <c r="H3278" s="11"/>
      <c r="I3278" s="11"/>
      <c r="J3278" s="11"/>
      <c r="K3278" s="11"/>
      <c r="L3278" s="11"/>
      <c r="M3278" s="11"/>
      <c r="N3278" s="11"/>
      <c r="O3278" s="11"/>
      <c r="P3278" s="11"/>
      <c r="Q3278" s="11"/>
      <c r="R3278" s="11"/>
      <c r="S3278" s="11"/>
    </row>
    <row r="3279" spans="1:19" s="9" customFormat="1" x14ac:dyDescent="0.25">
      <c r="A3279" s="10"/>
      <c r="B3279" s="11"/>
      <c r="C3279" s="11"/>
      <c r="D3279" s="11"/>
      <c r="E3279" s="11"/>
      <c r="F3279" s="11"/>
      <c r="G3279" s="11"/>
      <c r="H3279" s="11"/>
      <c r="I3279" s="11"/>
      <c r="J3279" s="11"/>
      <c r="K3279" s="11"/>
      <c r="L3279" s="11"/>
      <c r="M3279" s="11"/>
      <c r="N3279" s="11"/>
      <c r="O3279" s="11"/>
      <c r="P3279" s="11"/>
      <c r="Q3279" s="11"/>
      <c r="R3279" s="11"/>
      <c r="S3279" s="11"/>
    </row>
    <row r="3280" spans="1:19" s="9" customFormat="1" x14ac:dyDescent="0.25">
      <c r="A3280" s="10"/>
      <c r="B3280" s="11"/>
      <c r="C3280" s="11"/>
      <c r="D3280" s="11"/>
      <c r="E3280" s="11"/>
      <c r="F3280" s="11"/>
      <c r="G3280" s="11"/>
      <c r="H3280" s="11"/>
      <c r="I3280" s="11"/>
      <c r="J3280" s="11"/>
      <c r="K3280" s="11"/>
      <c r="L3280" s="11"/>
      <c r="M3280" s="11"/>
      <c r="N3280" s="11"/>
      <c r="O3280" s="11"/>
      <c r="P3280" s="11"/>
      <c r="Q3280" s="11"/>
      <c r="R3280" s="11"/>
      <c r="S3280" s="11"/>
    </row>
    <row r="3281" spans="1:19" s="9" customFormat="1" x14ac:dyDescent="0.25">
      <c r="A3281" s="10"/>
      <c r="B3281" s="11"/>
      <c r="C3281" s="11"/>
      <c r="D3281" s="11"/>
      <c r="E3281" s="11"/>
      <c r="F3281" s="11"/>
      <c r="G3281" s="11"/>
      <c r="H3281" s="11"/>
      <c r="I3281" s="11"/>
      <c r="J3281" s="11"/>
      <c r="K3281" s="11"/>
      <c r="L3281" s="11"/>
      <c r="M3281" s="11"/>
      <c r="N3281" s="11"/>
      <c r="O3281" s="11"/>
      <c r="P3281" s="11"/>
      <c r="Q3281" s="11"/>
      <c r="R3281" s="11"/>
      <c r="S3281" s="11"/>
    </row>
    <row r="3282" spans="1:19" s="9" customFormat="1" x14ac:dyDescent="0.25">
      <c r="A3282" s="10"/>
      <c r="B3282" s="11"/>
      <c r="C3282" s="11"/>
      <c r="D3282" s="11"/>
      <c r="E3282" s="11"/>
      <c r="F3282" s="11"/>
      <c r="G3282" s="11"/>
      <c r="H3282" s="11"/>
      <c r="I3282" s="11"/>
      <c r="J3282" s="11"/>
      <c r="K3282" s="11"/>
      <c r="L3282" s="11"/>
      <c r="M3282" s="11"/>
      <c r="N3282" s="11"/>
      <c r="O3282" s="11"/>
      <c r="P3282" s="11"/>
      <c r="Q3282" s="11"/>
      <c r="R3282" s="11"/>
      <c r="S3282" s="11"/>
    </row>
    <row r="3283" spans="1:19" s="9" customFormat="1" x14ac:dyDescent="0.25">
      <c r="A3283" s="10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  <c r="O3283" s="11"/>
      <c r="P3283" s="11"/>
      <c r="Q3283" s="11"/>
      <c r="R3283" s="11"/>
      <c r="S3283" s="11"/>
    </row>
    <row r="3284" spans="1:19" s="9" customFormat="1" x14ac:dyDescent="0.25">
      <c r="A3284" s="10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  <c r="O3284" s="11"/>
      <c r="P3284" s="11"/>
      <c r="Q3284" s="11"/>
      <c r="R3284" s="11"/>
      <c r="S3284" s="11"/>
    </row>
    <row r="3285" spans="1:19" s="9" customFormat="1" x14ac:dyDescent="0.25">
      <c r="A3285" s="10"/>
      <c r="B3285" s="11"/>
      <c r="C3285" s="11"/>
      <c r="D3285" s="11"/>
      <c r="E3285" s="11"/>
      <c r="F3285" s="11"/>
      <c r="G3285" s="11"/>
      <c r="H3285" s="11"/>
      <c r="I3285" s="11"/>
      <c r="J3285" s="11"/>
      <c r="K3285" s="11"/>
      <c r="L3285" s="11"/>
      <c r="M3285" s="11"/>
      <c r="N3285" s="11"/>
      <c r="O3285" s="11"/>
      <c r="P3285" s="11"/>
      <c r="Q3285" s="11"/>
      <c r="R3285" s="11"/>
      <c r="S3285" s="11"/>
    </row>
    <row r="3286" spans="1:19" s="9" customFormat="1" x14ac:dyDescent="0.25">
      <c r="A3286" s="10"/>
      <c r="B3286" s="11"/>
      <c r="C3286" s="11"/>
      <c r="D3286" s="11"/>
      <c r="E3286" s="11"/>
      <c r="F3286" s="11"/>
      <c r="G3286" s="11"/>
      <c r="H3286" s="11"/>
      <c r="I3286" s="11"/>
      <c r="J3286" s="11"/>
      <c r="K3286" s="11"/>
      <c r="L3286" s="11"/>
      <c r="M3286" s="11"/>
      <c r="N3286" s="11"/>
      <c r="O3286" s="11"/>
      <c r="P3286" s="11"/>
      <c r="Q3286" s="11"/>
      <c r="R3286" s="11"/>
      <c r="S3286" s="11"/>
    </row>
    <row r="3287" spans="1:19" s="9" customFormat="1" x14ac:dyDescent="0.25">
      <c r="A3287" s="10"/>
      <c r="B3287" s="11"/>
      <c r="C3287" s="11"/>
      <c r="D3287" s="11"/>
      <c r="E3287" s="11"/>
      <c r="F3287" s="11"/>
      <c r="G3287" s="11"/>
      <c r="H3287" s="11"/>
      <c r="I3287" s="11"/>
      <c r="J3287" s="11"/>
      <c r="K3287" s="11"/>
      <c r="L3287" s="11"/>
      <c r="M3287" s="11"/>
      <c r="N3287" s="11"/>
      <c r="O3287" s="11"/>
      <c r="P3287" s="11"/>
      <c r="Q3287" s="11"/>
      <c r="R3287" s="11"/>
      <c r="S3287" s="11"/>
    </row>
    <row r="3288" spans="1:19" s="9" customFormat="1" x14ac:dyDescent="0.25">
      <c r="A3288" s="10"/>
      <c r="B3288" s="11"/>
      <c r="C3288" s="11"/>
      <c r="D3288" s="11"/>
      <c r="E3288" s="11"/>
      <c r="F3288" s="11"/>
      <c r="G3288" s="11"/>
      <c r="H3288" s="11"/>
      <c r="I3288" s="11"/>
      <c r="J3288" s="11"/>
      <c r="K3288" s="11"/>
      <c r="L3288" s="11"/>
      <c r="M3288" s="11"/>
      <c r="N3288" s="11"/>
      <c r="O3288" s="11"/>
      <c r="P3288" s="11"/>
      <c r="Q3288" s="11"/>
      <c r="R3288" s="11"/>
      <c r="S3288" s="11"/>
    </row>
    <row r="3289" spans="1:19" s="9" customFormat="1" x14ac:dyDescent="0.25">
      <c r="A3289" s="10"/>
      <c r="B3289" s="11"/>
      <c r="C3289" s="11"/>
      <c r="D3289" s="11"/>
      <c r="E3289" s="11"/>
      <c r="F3289" s="11"/>
      <c r="G3289" s="11"/>
      <c r="H3289" s="11"/>
      <c r="I3289" s="11"/>
      <c r="J3289" s="11"/>
      <c r="K3289" s="11"/>
      <c r="L3289" s="11"/>
      <c r="M3289" s="11"/>
      <c r="N3289" s="11"/>
      <c r="O3289" s="11"/>
      <c r="P3289" s="11"/>
      <c r="Q3289" s="11"/>
      <c r="R3289" s="11"/>
      <c r="S3289" s="11"/>
    </row>
    <row r="3290" spans="1:19" s="9" customFormat="1" x14ac:dyDescent="0.25">
      <c r="A3290" s="10"/>
      <c r="B3290" s="11"/>
      <c r="C3290" s="11"/>
      <c r="D3290" s="11"/>
      <c r="E3290" s="11"/>
      <c r="F3290" s="11"/>
      <c r="G3290" s="11"/>
      <c r="H3290" s="11"/>
      <c r="I3290" s="11"/>
      <c r="J3290" s="11"/>
      <c r="K3290" s="11"/>
      <c r="L3290" s="11"/>
      <c r="M3290" s="11"/>
      <c r="N3290" s="11"/>
      <c r="O3290" s="11"/>
      <c r="P3290" s="11"/>
      <c r="Q3290" s="11"/>
      <c r="R3290" s="11"/>
      <c r="S3290" s="11"/>
    </row>
    <row r="3291" spans="1:19" s="9" customFormat="1" x14ac:dyDescent="0.25">
      <c r="A3291" s="10"/>
      <c r="B3291" s="11"/>
      <c r="C3291" s="11"/>
      <c r="D3291" s="11"/>
      <c r="E3291" s="11"/>
      <c r="F3291" s="11"/>
      <c r="G3291" s="11"/>
      <c r="H3291" s="11"/>
      <c r="I3291" s="11"/>
      <c r="J3291" s="11"/>
      <c r="K3291" s="11"/>
      <c r="L3291" s="11"/>
      <c r="M3291" s="11"/>
      <c r="N3291" s="11"/>
      <c r="O3291" s="11"/>
      <c r="P3291" s="11"/>
      <c r="Q3291" s="11"/>
      <c r="R3291" s="11"/>
      <c r="S3291" s="11"/>
    </row>
    <row r="3292" spans="1:19" s="9" customFormat="1" x14ac:dyDescent="0.25">
      <c r="A3292" s="10"/>
      <c r="B3292" s="11"/>
      <c r="C3292" s="11"/>
      <c r="D3292" s="11"/>
      <c r="E3292" s="11"/>
      <c r="F3292" s="11"/>
      <c r="G3292" s="11"/>
      <c r="H3292" s="11"/>
      <c r="I3292" s="11"/>
      <c r="J3292" s="11"/>
      <c r="K3292" s="11"/>
      <c r="L3292" s="11"/>
      <c r="M3292" s="11"/>
      <c r="N3292" s="11"/>
      <c r="O3292" s="11"/>
      <c r="P3292" s="11"/>
      <c r="Q3292" s="11"/>
      <c r="R3292" s="11"/>
      <c r="S3292" s="11"/>
    </row>
    <row r="3293" spans="1:19" s="9" customFormat="1" x14ac:dyDescent="0.25">
      <c r="A3293" s="10"/>
      <c r="B3293" s="11"/>
      <c r="C3293" s="11"/>
      <c r="D3293" s="11"/>
      <c r="E3293" s="11"/>
      <c r="F3293" s="11"/>
      <c r="G3293" s="11"/>
      <c r="H3293" s="11"/>
      <c r="I3293" s="11"/>
      <c r="J3293" s="11"/>
      <c r="K3293" s="11"/>
      <c r="L3293" s="11"/>
      <c r="M3293" s="11"/>
      <c r="N3293" s="11"/>
      <c r="O3293" s="11"/>
      <c r="P3293" s="11"/>
      <c r="Q3293" s="11"/>
      <c r="R3293" s="11"/>
      <c r="S3293" s="11"/>
    </row>
    <row r="3294" spans="1:19" s="9" customFormat="1" x14ac:dyDescent="0.25">
      <c r="A3294" s="10"/>
      <c r="B3294" s="11"/>
      <c r="C3294" s="11"/>
      <c r="D3294" s="11"/>
      <c r="E3294" s="11"/>
      <c r="F3294" s="11"/>
      <c r="G3294" s="11"/>
      <c r="H3294" s="11"/>
      <c r="I3294" s="11"/>
      <c r="J3294" s="11"/>
      <c r="K3294" s="11"/>
      <c r="L3294" s="11"/>
      <c r="M3294" s="11"/>
      <c r="N3294" s="11"/>
      <c r="O3294" s="11"/>
      <c r="P3294" s="11"/>
      <c r="Q3294" s="11"/>
      <c r="R3294" s="11"/>
      <c r="S3294" s="11"/>
    </row>
    <row r="3295" spans="1:19" s="9" customFormat="1" x14ac:dyDescent="0.25">
      <c r="A3295" s="10"/>
      <c r="B3295" s="11"/>
      <c r="C3295" s="11"/>
      <c r="D3295" s="11"/>
      <c r="E3295" s="11"/>
      <c r="F3295" s="11"/>
      <c r="G3295" s="11"/>
      <c r="H3295" s="11"/>
      <c r="I3295" s="11"/>
      <c r="J3295" s="11"/>
      <c r="K3295" s="11"/>
      <c r="L3295" s="11"/>
      <c r="M3295" s="11"/>
      <c r="N3295" s="11"/>
      <c r="O3295" s="11"/>
      <c r="P3295" s="11"/>
      <c r="Q3295" s="11"/>
      <c r="R3295" s="11"/>
      <c r="S3295" s="11"/>
    </row>
    <row r="3296" spans="1:19" s="9" customFormat="1" x14ac:dyDescent="0.25">
      <c r="A3296" s="10"/>
      <c r="B3296" s="11"/>
      <c r="C3296" s="11"/>
      <c r="D3296" s="11"/>
      <c r="E3296" s="11"/>
      <c r="F3296" s="11"/>
      <c r="G3296" s="11"/>
      <c r="H3296" s="11"/>
      <c r="I3296" s="11"/>
      <c r="J3296" s="11"/>
      <c r="K3296" s="11"/>
      <c r="L3296" s="11"/>
      <c r="M3296" s="11"/>
      <c r="N3296" s="11"/>
      <c r="O3296" s="11"/>
      <c r="P3296" s="11"/>
      <c r="Q3296" s="11"/>
      <c r="R3296" s="11"/>
      <c r="S3296" s="11"/>
    </row>
    <row r="3297" spans="1:19" s="9" customFormat="1" x14ac:dyDescent="0.25">
      <c r="A3297" s="10"/>
      <c r="B3297" s="11"/>
      <c r="C3297" s="11"/>
      <c r="D3297" s="11"/>
      <c r="E3297" s="11"/>
      <c r="F3297" s="11"/>
      <c r="G3297" s="11"/>
      <c r="H3297" s="11"/>
      <c r="I3297" s="11"/>
      <c r="J3297" s="11"/>
      <c r="K3297" s="11"/>
      <c r="L3297" s="11"/>
      <c r="M3297" s="11"/>
      <c r="N3297" s="11"/>
      <c r="O3297" s="11"/>
      <c r="P3297" s="11"/>
      <c r="Q3297" s="11"/>
      <c r="R3297" s="11"/>
      <c r="S3297" s="11"/>
    </row>
    <row r="3298" spans="1:19" s="9" customFormat="1" x14ac:dyDescent="0.25">
      <c r="A3298" s="10"/>
      <c r="B3298" s="11"/>
      <c r="C3298" s="11"/>
      <c r="D3298" s="11"/>
      <c r="E3298" s="11"/>
      <c r="F3298" s="11"/>
      <c r="G3298" s="11"/>
      <c r="H3298" s="11"/>
      <c r="I3298" s="11"/>
      <c r="J3298" s="11"/>
      <c r="K3298" s="11"/>
      <c r="L3298" s="11"/>
      <c r="M3298" s="11"/>
      <c r="N3298" s="11"/>
      <c r="O3298" s="11"/>
      <c r="P3298" s="11"/>
      <c r="Q3298" s="11"/>
      <c r="R3298" s="11"/>
      <c r="S3298" s="11"/>
    </row>
    <row r="3299" spans="1:19" s="9" customFormat="1" x14ac:dyDescent="0.25">
      <c r="A3299" s="10"/>
      <c r="B3299" s="11"/>
      <c r="C3299" s="11"/>
      <c r="D3299" s="11"/>
      <c r="E3299" s="11"/>
      <c r="F3299" s="11"/>
      <c r="G3299" s="11"/>
      <c r="H3299" s="11"/>
      <c r="I3299" s="11"/>
      <c r="J3299" s="11"/>
      <c r="K3299" s="11"/>
      <c r="L3299" s="11"/>
      <c r="M3299" s="11"/>
      <c r="N3299" s="11"/>
      <c r="O3299" s="11"/>
      <c r="P3299" s="11"/>
      <c r="Q3299" s="11"/>
      <c r="R3299" s="11"/>
      <c r="S3299" s="11"/>
    </row>
    <row r="3300" spans="1:19" s="9" customFormat="1" x14ac:dyDescent="0.25">
      <c r="A3300" s="10"/>
      <c r="B3300" s="11"/>
      <c r="C3300" s="11"/>
      <c r="D3300" s="11"/>
      <c r="E3300" s="11"/>
      <c r="F3300" s="11"/>
      <c r="G3300" s="11"/>
      <c r="H3300" s="11"/>
      <c r="I3300" s="11"/>
      <c r="J3300" s="11"/>
      <c r="K3300" s="11"/>
      <c r="L3300" s="11"/>
      <c r="M3300" s="11"/>
      <c r="N3300" s="11"/>
      <c r="O3300" s="11"/>
      <c r="P3300" s="11"/>
      <c r="Q3300" s="11"/>
      <c r="R3300" s="11"/>
      <c r="S3300" s="11"/>
    </row>
    <row r="3301" spans="1:19" s="9" customFormat="1" x14ac:dyDescent="0.25">
      <c r="A3301" s="10"/>
      <c r="B3301" s="11"/>
      <c r="C3301" s="11"/>
      <c r="D3301" s="11"/>
      <c r="E3301" s="11"/>
      <c r="F3301" s="11"/>
      <c r="G3301" s="11"/>
      <c r="H3301" s="11"/>
      <c r="I3301" s="11"/>
      <c r="J3301" s="11"/>
      <c r="K3301" s="11"/>
      <c r="L3301" s="11"/>
      <c r="M3301" s="11"/>
      <c r="N3301" s="11"/>
      <c r="O3301" s="11"/>
      <c r="P3301" s="11"/>
      <c r="Q3301" s="11"/>
      <c r="R3301" s="11"/>
      <c r="S3301" s="11"/>
    </row>
    <row r="3302" spans="1:19" s="9" customFormat="1" x14ac:dyDescent="0.25">
      <c r="A3302" s="10"/>
      <c r="B3302" s="11"/>
      <c r="C3302" s="11"/>
      <c r="D3302" s="11"/>
      <c r="E3302" s="11"/>
      <c r="F3302" s="11"/>
      <c r="G3302" s="11"/>
      <c r="H3302" s="11"/>
      <c r="I3302" s="11"/>
      <c r="J3302" s="11"/>
      <c r="K3302" s="11"/>
      <c r="L3302" s="11"/>
      <c r="M3302" s="11"/>
      <c r="N3302" s="11"/>
      <c r="O3302" s="11"/>
      <c r="P3302" s="11"/>
      <c r="Q3302" s="11"/>
      <c r="R3302" s="11"/>
      <c r="S3302" s="11"/>
    </row>
    <row r="3303" spans="1:19" s="9" customFormat="1" x14ac:dyDescent="0.25">
      <c r="A3303" s="10"/>
      <c r="B3303" s="11"/>
      <c r="C3303" s="11"/>
      <c r="D3303" s="11"/>
      <c r="E3303" s="11"/>
      <c r="F3303" s="11"/>
      <c r="G3303" s="11"/>
      <c r="H3303" s="11"/>
      <c r="I3303" s="11"/>
      <c r="J3303" s="11"/>
      <c r="K3303" s="11"/>
      <c r="L3303" s="11"/>
      <c r="M3303" s="11"/>
      <c r="N3303" s="11"/>
      <c r="O3303" s="11"/>
      <c r="P3303" s="11"/>
      <c r="Q3303" s="11"/>
      <c r="R3303" s="11"/>
      <c r="S3303" s="11"/>
    </row>
    <row r="3304" spans="1:19" s="9" customFormat="1" x14ac:dyDescent="0.25">
      <c r="A3304" s="10"/>
      <c r="B3304" s="11"/>
      <c r="C3304" s="11"/>
      <c r="D3304" s="11"/>
      <c r="E3304" s="11"/>
      <c r="F3304" s="11"/>
      <c r="G3304" s="11"/>
      <c r="H3304" s="11"/>
      <c r="I3304" s="11"/>
      <c r="J3304" s="11"/>
      <c r="K3304" s="11"/>
      <c r="L3304" s="11"/>
      <c r="M3304" s="11"/>
      <c r="N3304" s="11"/>
      <c r="O3304" s="11"/>
      <c r="P3304" s="11"/>
      <c r="Q3304" s="11"/>
      <c r="R3304" s="11"/>
      <c r="S3304" s="11"/>
    </row>
    <row r="3305" spans="1:19" s="9" customFormat="1" x14ac:dyDescent="0.25">
      <c r="A3305" s="10"/>
      <c r="B3305" s="11"/>
      <c r="C3305" s="11"/>
      <c r="D3305" s="11"/>
      <c r="E3305" s="11"/>
      <c r="F3305" s="11"/>
      <c r="G3305" s="11"/>
      <c r="H3305" s="11"/>
      <c r="I3305" s="11"/>
      <c r="J3305" s="11"/>
      <c r="K3305" s="11"/>
      <c r="L3305" s="11"/>
      <c r="M3305" s="11"/>
      <c r="N3305" s="11"/>
      <c r="O3305" s="11"/>
      <c r="P3305" s="11"/>
      <c r="Q3305" s="11"/>
      <c r="R3305" s="11"/>
      <c r="S3305" s="11"/>
    </row>
    <row r="3306" spans="1:19" s="9" customFormat="1" x14ac:dyDescent="0.25">
      <c r="A3306" s="10"/>
      <c r="B3306" s="11"/>
      <c r="C3306" s="11"/>
      <c r="D3306" s="11"/>
      <c r="E3306" s="11"/>
      <c r="F3306" s="11"/>
      <c r="G3306" s="11"/>
      <c r="H3306" s="11"/>
      <c r="I3306" s="11"/>
      <c r="J3306" s="11"/>
      <c r="K3306" s="11"/>
      <c r="L3306" s="11"/>
      <c r="M3306" s="11"/>
      <c r="N3306" s="11"/>
      <c r="O3306" s="11"/>
      <c r="P3306" s="11"/>
      <c r="Q3306" s="11"/>
      <c r="R3306" s="11"/>
      <c r="S3306" s="11"/>
    </row>
    <row r="3307" spans="1:19" s="9" customFormat="1" x14ac:dyDescent="0.25">
      <c r="A3307" s="10"/>
      <c r="B3307" s="11"/>
      <c r="C3307" s="11"/>
      <c r="D3307" s="11"/>
      <c r="E3307" s="11"/>
      <c r="F3307" s="11"/>
      <c r="G3307" s="11"/>
      <c r="H3307" s="11"/>
      <c r="I3307" s="11"/>
      <c r="J3307" s="11"/>
      <c r="K3307" s="11"/>
      <c r="L3307" s="11"/>
      <c r="M3307" s="11"/>
      <c r="N3307" s="11"/>
      <c r="O3307" s="11"/>
      <c r="P3307" s="11"/>
      <c r="Q3307" s="11"/>
      <c r="R3307" s="11"/>
      <c r="S3307" s="11"/>
    </row>
    <row r="3308" spans="1:19" s="9" customFormat="1" x14ac:dyDescent="0.25">
      <c r="A3308" s="10"/>
      <c r="B3308" s="11"/>
      <c r="C3308" s="11"/>
      <c r="D3308" s="11"/>
      <c r="E3308" s="11"/>
      <c r="F3308" s="11"/>
      <c r="G3308" s="11"/>
      <c r="H3308" s="11"/>
      <c r="I3308" s="11"/>
      <c r="J3308" s="11"/>
      <c r="K3308" s="11"/>
      <c r="L3308" s="11"/>
      <c r="M3308" s="11"/>
      <c r="N3308" s="11"/>
      <c r="O3308" s="11"/>
      <c r="P3308" s="11"/>
      <c r="Q3308" s="11"/>
      <c r="R3308" s="11"/>
      <c r="S3308" s="11"/>
    </row>
    <row r="3309" spans="1:19" s="9" customFormat="1" x14ac:dyDescent="0.25">
      <c r="A3309" s="10"/>
      <c r="B3309" s="11"/>
      <c r="C3309" s="11"/>
      <c r="D3309" s="11"/>
      <c r="E3309" s="11"/>
      <c r="F3309" s="11"/>
      <c r="G3309" s="11"/>
      <c r="H3309" s="11"/>
      <c r="I3309" s="11"/>
      <c r="J3309" s="11"/>
      <c r="K3309" s="11"/>
      <c r="L3309" s="11"/>
      <c r="M3309" s="11"/>
      <c r="N3309" s="11"/>
      <c r="O3309" s="11"/>
      <c r="P3309" s="11"/>
      <c r="Q3309" s="11"/>
      <c r="R3309" s="11"/>
      <c r="S3309" s="11"/>
    </row>
    <row r="3310" spans="1:19" s="9" customFormat="1" x14ac:dyDescent="0.25">
      <c r="A3310" s="10"/>
      <c r="B3310" s="11"/>
      <c r="C3310" s="11"/>
      <c r="D3310" s="11"/>
      <c r="E3310" s="11"/>
      <c r="F3310" s="11"/>
      <c r="G3310" s="11"/>
      <c r="H3310" s="11"/>
      <c r="I3310" s="11"/>
      <c r="J3310" s="11"/>
      <c r="K3310" s="11"/>
      <c r="L3310" s="11"/>
      <c r="M3310" s="11"/>
      <c r="N3310" s="11"/>
      <c r="O3310" s="11"/>
      <c r="P3310" s="11"/>
      <c r="Q3310" s="11"/>
      <c r="R3310" s="11"/>
      <c r="S3310" s="11"/>
    </row>
    <row r="3311" spans="1:19" s="9" customFormat="1" x14ac:dyDescent="0.25">
      <c r="A3311" s="10"/>
      <c r="B3311" s="11"/>
      <c r="C3311" s="11"/>
      <c r="D3311" s="11"/>
      <c r="E3311" s="11"/>
      <c r="F3311" s="11"/>
      <c r="G3311" s="11"/>
      <c r="H3311" s="11"/>
      <c r="I3311" s="11"/>
      <c r="J3311" s="11"/>
      <c r="K3311" s="11"/>
      <c r="L3311" s="11"/>
      <c r="M3311" s="11"/>
      <c r="N3311" s="11"/>
      <c r="O3311" s="11"/>
      <c r="P3311" s="11"/>
      <c r="Q3311" s="11"/>
      <c r="R3311" s="11"/>
      <c r="S3311" s="11"/>
    </row>
    <row r="3312" spans="1:19" s="9" customFormat="1" x14ac:dyDescent="0.25">
      <c r="A3312" s="10"/>
      <c r="B3312" s="11"/>
      <c r="C3312" s="11"/>
      <c r="D3312" s="11"/>
      <c r="E3312" s="11"/>
      <c r="F3312" s="11"/>
      <c r="G3312" s="11"/>
      <c r="H3312" s="11"/>
      <c r="I3312" s="11"/>
      <c r="J3312" s="11"/>
      <c r="K3312" s="11"/>
      <c r="L3312" s="11"/>
      <c r="M3312" s="11"/>
      <c r="N3312" s="11"/>
      <c r="O3312" s="11"/>
      <c r="P3312" s="11"/>
      <c r="Q3312" s="11"/>
      <c r="R3312" s="11"/>
      <c r="S3312" s="11"/>
    </row>
    <row r="3313" spans="1:19" s="9" customFormat="1" x14ac:dyDescent="0.25">
      <c r="A3313" s="10"/>
      <c r="B3313" s="11"/>
      <c r="C3313" s="11"/>
      <c r="D3313" s="11"/>
      <c r="E3313" s="11"/>
      <c r="F3313" s="11"/>
      <c r="G3313" s="11"/>
      <c r="H3313" s="11"/>
      <c r="I3313" s="11"/>
      <c r="J3313" s="11"/>
      <c r="K3313" s="11"/>
      <c r="L3313" s="11"/>
      <c r="M3313" s="11"/>
      <c r="N3313" s="11"/>
      <c r="O3313" s="11"/>
      <c r="P3313" s="11"/>
      <c r="Q3313" s="11"/>
      <c r="R3313" s="11"/>
      <c r="S3313" s="11"/>
    </row>
    <row r="3314" spans="1:19" s="9" customFormat="1" x14ac:dyDescent="0.25">
      <c r="A3314" s="10"/>
      <c r="B3314" s="11"/>
      <c r="C3314" s="11"/>
      <c r="D3314" s="11"/>
      <c r="E3314" s="11"/>
      <c r="F3314" s="11"/>
      <c r="G3314" s="11"/>
      <c r="H3314" s="11"/>
      <c r="I3314" s="11"/>
      <c r="J3314" s="11"/>
      <c r="K3314" s="11"/>
      <c r="L3314" s="11"/>
      <c r="M3314" s="11"/>
      <c r="N3314" s="11"/>
      <c r="O3314" s="11"/>
      <c r="P3314" s="11"/>
      <c r="Q3314" s="11"/>
      <c r="R3314" s="11"/>
      <c r="S3314" s="11"/>
    </row>
    <row r="3315" spans="1:19" s="9" customFormat="1" x14ac:dyDescent="0.25">
      <c r="A3315" s="10"/>
      <c r="B3315" s="11"/>
      <c r="C3315" s="11"/>
      <c r="D3315" s="11"/>
      <c r="E3315" s="11"/>
      <c r="F3315" s="11"/>
      <c r="G3315" s="11"/>
      <c r="H3315" s="11"/>
      <c r="I3315" s="11"/>
      <c r="J3315" s="11"/>
      <c r="K3315" s="11"/>
      <c r="L3315" s="11"/>
      <c r="M3315" s="11"/>
      <c r="N3315" s="11"/>
      <c r="O3315" s="11"/>
      <c r="P3315" s="11"/>
      <c r="Q3315" s="11"/>
      <c r="R3315" s="11"/>
      <c r="S3315" s="11"/>
    </row>
    <row r="3316" spans="1:19" s="9" customFormat="1" x14ac:dyDescent="0.25">
      <c r="A3316" s="10"/>
      <c r="B3316" s="11"/>
      <c r="C3316" s="11"/>
      <c r="D3316" s="11"/>
      <c r="E3316" s="11"/>
      <c r="F3316" s="11"/>
      <c r="G3316" s="11"/>
      <c r="H3316" s="11"/>
      <c r="I3316" s="11"/>
      <c r="J3316" s="11"/>
      <c r="K3316" s="11"/>
      <c r="L3316" s="11"/>
      <c r="M3316" s="11"/>
      <c r="N3316" s="11"/>
      <c r="O3316" s="11"/>
      <c r="P3316" s="11"/>
      <c r="Q3316" s="11"/>
      <c r="R3316" s="11"/>
      <c r="S3316" s="11"/>
    </row>
    <row r="3317" spans="1:19" s="9" customFormat="1" x14ac:dyDescent="0.25">
      <c r="A3317" s="10"/>
      <c r="B3317" s="11"/>
      <c r="C3317" s="11"/>
      <c r="D3317" s="11"/>
      <c r="E3317" s="11"/>
      <c r="F3317" s="11"/>
      <c r="G3317" s="11"/>
      <c r="H3317" s="11"/>
      <c r="I3317" s="11"/>
      <c r="J3317" s="11"/>
      <c r="K3317" s="11"/>
      <c r="L3317" s="11"/>
      <c r="M3317" s="11"/>
      <c r="N3317" s="11"/>
      <c r="O3317" s="11"/>
      <c r="P3317" s="11"/>
      <c r="Q3317" s="11"/>
      <c r="R3317" s="11"/>
      <c r="S3317" s="11"/>
    </row>
    <row r="3318" spans="1:19" s="9" customFormat="1" x14ac:dyDescent="0.25">
      <c r="A3318" s="10"/>
      <c r="B3318" s="11"/>
      <c r="C3318" s="11"/>
      <c r="D3318" s="11"/>
      <c r="E3318" s="11"/>
      <c r="F3318" s="11"/>
      <c r="G3318" s="11"/>
      <c r="H3318" s="11"/>
      <c r="I3318" s="11"/>
      <c r="J3318" s="11"/>
      <c r="K3318" s="11"/>
      <c r="L3318" s="11"/>
      <c r="M3318" s="11"/>
      <c r="N3318" s="11"/>
      <c r="O3318" s="11"/>
      <c r="P3318" s="11"/>
      <c r="Q3318" s="11"/>
      <c r="R3318" s="11"/>
      <c r="S3318" s="11"/>
    </row>
    <row r="3319" spans="1:19" s="9" customFormat="1" x14ac:dyDescent="0.25">
      <c r="A3319" s="10"/>
      <c r="B3319" s="11"/>
      <c r="C3319" s="11"/>
      <c r="D3319" s="11"/>
      <c r="E3319" s="11"/>
      <c r="F3319" s="11"/>
      <c r="G3319" s="11"/>
      <c r="H3319" s="11"/>
      <c r="I3319" s="11"/>
      <c r="J3319" s="11"/>
      <c r="K3319" s="11"/>
      <c r="L3319" s="11"/>
      <c r="M3319" s="11"/>
      <c r="N3319" s="11"/>
      <c r="O3319" s="11"/>
      <c r="P3319" s="11"/>
      <c r="Q3319" s="11"/>
      <c r="R3319" s="11"/>
      <c r="S3319" s="11"/>
    </row>
    <row r="3320" spans="1:19" s="9" customFormat="1" x14ac:dyDescent="0.25">
      <c r="A3320" s="10"/>
      <c r="B3320" s="11"/>
      <c r="C3320" s="11"/>
      <c r="D3320" s="11"/>
      <c r="E3320" s="11"/>
      <c r="F3320" s="11"/>
      <c r="G3320" s="11"/>
      <c r="H3320" s="11"/>
      <c r="I3320" s="11"/>
      <c r="J3320" s="11"/>
      <c r="K3320" s="11"/>
      <c r="L3320" s="11"/>
      <c r="M3320" s="11"/>
      <c r="N3320" s="11"/>
      <c r="O3320" s="11"/>
      <c r="P3320" s="11"/>
      <c r="Q3320" s="11"/>
      <c r="R3320" s="11"/>
      <c r="S3320" s="11"/>
    </row>
    <row r="3321" spans="1:19" s="9" customFormat="1" x14ac:dyDescent="0.25">
      <c r="A3321" s="10"/>
      <c r="B3321" s="11"/>
      <c r="C3321" s="11"/>
      <c r="D3321" s="11"/>
      <c r="E3321" s="11"/>
      <c r="F3321" s="11"/>
      <c r="G3321" s="11"/>
      <c r="H3321" s="11"/>
      <c r="I3321" s="11"/>
      <c r="J3321" s="11"/>
      <c r="K3321" s="11"/>
      <c r="L3321" s="11"/>
      <c r="M3321" s="11"/>
      <c r="N3321" s="11"/>
      <c r="O3321" s="11"/>
      <c r="P3321" s="11"/>
      <c r="Q3321" s="11"/>
      <c r="R3321" s="11"/>
      <c r="S3321" s="11"/>
    </row>
    <row r="3322" spans="1:19" s="9" customFormat="1" x14ac:dyDescent="0.25">
      <c r="A3322" s="10"/>
      <c r="B3322" s="11"/>
      <c r="C3322" s="11"/>
      <c r="D3322" s="11"/>
      <c r="E3322" s="11"/>
      <c r="F3322" s="11"/>
      <c r="G3322" s="11"/>
      <c r="H3322" s="11"/>
      <c r="I3322" s="11"/>
      <c r="J3322" s="11"/>
      <c r="K3322" s="11"/>
      <c r="L3322" s="11"/>
      <c r="M3322" s="11"/>
      <c r="N3322" s="11"/>
      <c r="O3322" s="11"/>
      <c r="P3322" s="11"/>
      <c r="Q3322" s="11"/>
      <c r="R3322" s="11"/>
      <c r="S3322" s="11"/>
    </row>
    <row r="3323" spans="1:19" s="9" customFormat="1" x14ac:dyDescent="0.25">
      <c r="A3323" s="10"/>
      <c r="B3323" s="11"/>
      <c r="C3323" s="11"/>
      <c r="D3323" s="11"/>
      <c r="E3323" s="11"/>
      <c r="F3323" s="11"/>
      <c r="G3323" s="11"/>
      <c r="H3323" s="11"/>
      <c r="I3323" s="11"/>
      <c r="J3323" s="11"/>
      <c r="K3323" s="11"/>
      <c r="L3323" s="11"/>
      <c r="M3323" s="11"/>
      <c r="N3323" s="11"/>
      <c r="O3323" s="11"/>
      <c r="P3323" s="11"/>
      <c r="Q3323" s="11"/>
      <c r="R3323" s="11"/>
      <c r="S3323" s="11"/>
    </row>
    <row r="3324" spans="1:19" s="9" customFormat="1" x14ac:dyDescent="0.25">
      <c r="A3324" s="10"/>
      <c r="B3324" s="11"/>
      <c r="C3324" s="11"/>
      <c r="D3324" s="11"/>
      <c r="E3324" s="11"/>
      <c r="F3324" s="11"/>
      <c r="G3324" s="11"/>
      <c r="H3324" s="11"/>
      <c r="I3324" s="11"/>
      <c r="J3324" s="11"/>
      <c r="K3324" s="11"/>
      <c r="L3324" s="11"/>
      <c r="M3324" s="11"/>
      <c r="N3324" s="11"/>
      <c r="O3324" s="11"/>
      <c r="P3324" s="11"/>
      <c r="Q3324" s="11"/>
      <c r="R3324" s="11"/>
      <c r="S3324" s="11"/>
    </row>
    <row r="3325" spans="1:19" s="9" customFormat="1" x14ac:dyDescent="0.25">
      <c r="A3325" s="10"/>
      <c r="B3325" s="11"/>
      <c r="C3325" s="11"/>
      <c r="D3325" s="11"/>
      <c r="E3325" s="11"/>
      <c r="F3325" s="11"/>
      <c r="G3325" s="11"/>
      <c r="H3325" s="11"/>
      <c r="I3325" s="11"/>
      <c r="J3325" s="11"/>
      <c r="K3325" s="11"/>
      <c r="L3325" s="11"/>
      <c r="M3325" s="11"/>
      <c r="N3325" s="11"/>
      <c r="O3325" s="11"/>
      <c r="P3325" s="11"/>
      <c r="Q3325" s="11"/>
      <c r="R3325" s="11"/>
      <c r="S3325" s="11"/>
    </row>
    <row r="3326" spans="1:19" s="9" customFormat="1" x14ac:dyDescent="0.25">
      <c r="A3326" s="10"/>
      <c r="B3326" s="11"/>
      <c r="C3326" s="11"/>
      <c r="D3326" s="11"/>
      <c r="E3326" s="11"/>
      <c r="F3326" s="11"/>
      <c r="G3326" s="11"/>
      <c r="H3326" s="11"/>
      <c r="I3326" s="11"/>
      <c r="J3326" s="11"/>
      <c r="K3326" s="11"/>
      <c r="L3326" s="11"/>
      <c r="M3326" s="11"/>
      <c r="N3326" s="11"/>
      <c r="O3326" s="11"/>
      <c r="P3326" s="11"/>
      <c r="Q3326" s="11"/>
      <c r="R3326" s="11"/>
      <c r="S3326" s="11"/>
    </row>
    <row r="3327" spans="1:19" s="9" customFormat="1" x14ac:dyDescent="0.25">
      <c r="A3327" s="10"/>
      <c r="B3327" s="11"/>
      <c r="C3327" s="11"/>
      <c r="D3327" s="11"/>
      <c r="E3327" s="11"/>
      <c r="F3327" s="11"/>
      <c r="G3327" s="11"/>
      <c r="H3327" s="11"/>
      <c r="I3327" s="11"/>
      <c r="J3327" s="11"/>
      <c r="K3327" s="11"/>
      <c r="L3327" s="11"/>
      <c r="M3327" s="11"/>
      <c r="N3327" s="11"/>
      <c r="O3327" s="11"/>
      <c r="P3327" s="11"/>
      <c r="Q3327" s="11"/>
      <c r="R3327" s="11"/>
      <c r="S3327" s="11"/>
    </row>
    <row r="3328" spans="1:19" s="9" customFormat="1" x14ac:dyDescent="0.25">
      <c r="A3328" s="10"/>
      <c r="B3328" s="11"/>
      <c r="C3328" s="11"/>
      <c r="D3328" s="11"/>
      <c r="E3328" s="11"/>
      <c r="F3328" s="11"/>
      <c r="G3328" s="11"/>
      <c r="H3328" s="11"/>
      <c r="I3328" s="11"/>
      <c r="J3328" s="11"/>
      <c r="K3328" s="11"/>
      <c r="L3328" s="11"/>
      <c r="M3328" s="11"/>
      <c r="N3328" s="11"/>
      <c r="O3328" s="11"/>
      <c r="P3328" s="11"/>
      <c r="Q3328" s="11"/>
      <c r="R3328" s="11"/>
      <c r="S3328" s="11"/>
    </row>
    <row r="3329" spans="1:19" s="9" customFormat="1" x14ac:dyDescent="0.25">
      <c r="A3329" s="10"/>
      <c r="B3329" s="11"/>
      <c r="C3329" s="11"/>
      <c r="D3329" s="11"/>
      <c r="E3329" s="11"/>
      <c r="F3329" s="11"/>
      <c r="G3329" s="11"/>
      <c r="H3329" s="11"/>
      <c r="I3329" s="11"/>
      <c r="J3329" s="11"/>
      <c r="K3329" s="11"/>
      <c r="L3329" s="11"/>
      <c r="M3329" s="11"/>
      <c r="N3329" s="11"/>
      <c r="O3329" s="11"/>
      <c r="P3329" s="11"/>
      <c r="Q3329" s="11"/>
      <c r="R3329" s="11"/>
      <c r="S3329" s="11"/>
    </row>
    <row r="3330" spans="1:19" s="9" customFormat="1" x14ac:dyDescent="0.25">
      <c r="A3330" s="10"/>
      <c r="B3330" s="11"/>
      <c r="C3330" s="11"/>
      <c r="D3330" s="11"/>
      <c r="E3330" s="11"/>
      <c r="F3330" s="11"/>
      <c r="G3330" s="11"/>
      <c r="H3330" s="11"/>
      <c r="I3330" s="11"/>
      <c r="J3330" s="11"/>
      <c r="K3330" s="11"/>
      <c r="L3330" s="11"/>
      <c r="M3330" s="11"/>
      <c r="N3330" s="11"/>
      <c r="O3330" s="11"/>
      <c r="P3330" s="11"/>
      <c r="Q3330" s="11"/>
      <c r="R3330" s="11"/>
      <c r="S3330" s="11"/>
    </row>
    <row r="3331" spans="1:19" s="9" customFormat="1" x14ac:dyDescent="0.25">
      <c r="A3331" s="10"/>
      <c r="B3331" s="11"/>
      <c r="C3331" s="11"/>
      <c r="D3331" s="11"/>
      <c r="E3331" s="11"/>
      <c r="F3331" s="11"/>
      <c r="G3331" s="11"/>
      <c r="H3331" s="11"/>
      <c r="I3331" s="11"/>
      <c r="J3331" s="11"/>
      <c r="K3331" s="11"/>
      <c r="L3331" s="11"/>
      <c r="M3331" s="11"/>
      <c r="N3331" s="11"/>
      <c r="O3331" s="11"/>
      <c r="P3331" s="11"/>
      <c r="Q3331" s="11"/>
      <c r="R3331" s="11"/>
      <c r="S3331" s="11"/>
    </row>
    <row r="3332" spans="1:19" s="9" customFormat="1" x14ac:dyDescent="0.25">
      <c r="A3332" s="10"/>
      <c r="B3332" s="11"/>
      <c r="C3332" s="11"/>
      <c r="D3332" s="11"/>
      <c r="E3332" s="11"/>
      <c r="F3332" s="11"/>
      <c r="G3332" s="11"/>
      <c r="H3332" s="11"/>
      <c r="I3332" s="11"/>
      <c r="J3332" s="11"/>
      <c r="K3332" s="11"/>
      <c r="L3332" s="11"/>
      <c r="M3332" s="11"/>
      <c r="N3332" s="11"/>
      <c r="O3332" s="11"/>
      <c r="P3332" s="11"/>
      <c r="Q3332" s="11"/>
      <c r="R3332" s="11"/>
      <c r="S3332" s="11"/>
    </row>
    <row r="3333" spans="1:19" s="9" customFormat="1" x14ac:dyDescent="0.25">
      <c r="A3333" s="10"/>
      <c r="B3333" s="11"/>
      <c r="C3333" s="11"/>
      <c r="D3333" s="11"/>
      <c r="E3333" s="11"/>
      <c r="F3333" s="11"/>
      <c r="G3333" s="11"/>
      <c r="H3333" s="11"/>
      <c r="I3333" s="11"/>
      <c r="J3333" s="11"/>
      <c r="K3333" s="11"/>
      <c r="L3333" s="11"/>
      <c r="M3333" s="11"/>
      <c r="N3333" s="11"/>
      <c r="O3333" s="11"/>
      <c r="P3333" s="11"/>
      <c r="Q3333" s="11"/>
      <c r="R3333" s="11"/>
      <c r="S3333" s="11"/>
    </row>
    <row r="3334" spans="1:19" s="9" customFormat="1" x14ac:dyDescent="0.25">
      <c r="A3334" s="10"/>
      <c r="B3334" s="11"/>
      <c r="C3334" s="11"/>
      <c r="D3334" s="11"/>
      <c r="E3334" s="11"/>
      <c r="F3334" s="11"/>
      <c r="G3334" s="11"/>
      <c r="H3334" s="11"/>
      <c r="I3334" s="11"/>
      <c r="J3334" s="11"/>
      <c r="K3334" s="11"/>
      <c r="L3334" s="11"/>
      <c r="M3334" s="11"/>
      <c r="N3334" s="11"/>
      <c r="O3334" s="11"/>
      <c r="P3334" s="11"/>
      <c r="Q3334" s="11"/>
      <c r="R3334" s="11"/>
      <c r="S3334" s="11"/>
    </row>
    <row r="3335" spans="1:19" s="9" customFormat="1" x14ac:dyDescent="0.25">
      <c r="A3335" s="10"/>
      <c r="B3335" s="11"/>
      <c r="C3335" s="11"/>
      <c r="D3335" s="11"/>
      <c r="E3335" s="11"/>
      <c r="F3335" s="11"/>
      <c r="G3335" s="11"/>
      <c r="H3335" s="11"/>
      <c r="I3335" s="11"/>
      <c r="J3335" s="11"/>
      <c r="K3335" s="11"/>
      <c r="L3335" s="11"/>
      <c r="M3335" s="11"/>
      <c r="N3335" s="11"/>
      <c r="O3335" s="11"/>
      <c r="P3335" s="11"/>
      <c r="Q3335" s="11"/>
      <c r="R3335" s="11"/>
      <c r="S3335" s="11"/>
    </row>
    <row r="3336" spans="1:19" s="9" customFormat="1" x14ac:dyDescent="0.25">
      <c r="A3336" s="10"/>
      <c r="B3336" s="11"/>
      <c r="C3336" s="11"/>
      <c r="D3336" s="11"/>
      <c r="E3336" s="11"/>
      <c r="F3336" s="11"/>
      <c r="G3336" s="11"/>
      <c r="H3336" s="11"/>
      <c r="I3336" s="11"/>
      <c r="J3336" s="11"/>
      <c r="K3336" s="11"/>
      <c r="L3336" s="11"/>
      <c r="M3336" s="11"/>
      <c r="N3336" s="11"/>
      <c r="O3336" s="11"/>
      <c r="P3336" s="11"/>
      <c r="Q3336" s="11"/>
      <c r="R3336" s="11"/>
      <c r="S3336" s="11"/>
    </row>
    <row r="3337" spans="1:19" s="9" customFormat="1" x14ac:dyDescent="0.25">
      <c r="A3337" s="10"/>
      <c r="B3337" s="11"/>
      <c r="C3337" s="11"/>
      <c r="D3337" s="11"/>
      <c r="E3337" s="11"/>
      <c r="F3337" s="11"/>
      <c r="G3337" s="11"/>
      <c r="H3337" s="11"/>
      <c r="I3337" s="11"/>
      <c r="J3337" s="11"/>
      <c r="K3337" s="11"/>
      <c r="L3337" s="11"/>
      <c r="M3337" s="11"/>
      <c r="N3337" s="11"/>
      <c r="O3337" s="11"/>
      <c r="P3337" s="11"/>
      <c r="Q3337" s="11"/>
      <c r="R3337" s="11"/>
      <c r="S3337" s="11"/>
    </row>
    <row r="3338" spans="1:19" s="9" customFormat="1" x14ac:dyDescent="0.25">
      <c r="A3338" s="10"/>
      <c r="B3338" s="11"/>
      <c r="C3338" s="11"/>
      <c r="D3338" s="11"/>
      <c r="E3338" s="11"/>
      <c r="F3338" s="11"/>
      <c r="G3338" s="11"/>
      <c r="H3338" s="11"/>
      <c r="I3338" s="11"/>
      <c r="J3338" s="11"/>
      <c r="K3338" s="11"/>
      <c r="L3338" s="11"/>
      <c r="M3338" s="11"/>
      <c r="N3338" s="11"/>
      <c r="O3338" s="11"/>
      <c r="P3338" s="11"/>
      <c r="Q3338" s="11"/>
      <c r="R3338" s="11"/>
      <c r="S3338" s="11"/>
    </row>
    <row r="3339" spans="1:19" s="9" customFormat="1" x14ac:dyDescent="0.25">
      <c r="A3339" s="10"/>
      <c r="B3339" s="11"/>
      <c r="C3339" s="11"/>
      <c r="D3339" s="11"/>
      <c r="E3339" s="11"/>
      <c r="F3339" s="11"/>
      <c r="G3339" s="11"/>
      <c r="H3339" s="11"/>
      <c r="I3339" s="11"/>
      <c r="J3339" s="11"/>
      <c r="K3339" s="11"/>
      <c r="L3339" s="11"/>
      <c r="M3339" s="11"/>
      <c r="N3339" s="11"/>
      <c r="O3339" s="11"/>
      <c r="P3339" s="11"/>
      <c r="Q3339" s="11"/>
      <c r="R3339" s="11"/>
      <c r="S3339" s="11"/>
    </row>
    <row r="3340" spans="1:19" s="9" customFormat="1" x14ac:dyDescent="0.25">
      <c r="A3340" s="10"/>
      <c r="B3340" s="11"/>
      <c r="C3340" s="11"/>
      <c r="D3340" s="11"/>
      <c r="E3340" s="11"/>
      <c r="F3340" s="11"/>
      <c r="G3340" s="11"/>
      <c r="H3340" s="11"/>
      <c r="I3340" s="11"/>
      <c r="J3340" s="11"/>
      <c r="K3340" s="11"/>
      <c r="L3340" s="11"/>
      <c r="M3340" s="11"/>
      <c r="N3340" s="11"/>
      <c r="O3340" s="11"/>
      <c r="P3340" s="11"/>
      <c r="Q3340" s="11"/>
      <c r="R3340" s="11"/>
      <c r="S3340" s="11"/>
    </row>
    <row r="3341" spans="1:19" s="9" customFormat="1" x14ac:dyDescent="0.25">
      <c r="A3341" s="10"/>
      <c r="B3341" s="11"/>
      <c r="C3341" s="11"/>
      <c r="D3341" s="11"/>
      <c r="E3341" s="11"/>
      <c r="F3341" s="11"/>
      <c r="G3341" s="11"/>
      <c r="H3341" s="11"/>
      <c r="I3341" s="11"/>
      <c r="J3341" s="11"/>
      <c r="K3341" s="11"/>
      <c r="L3341" s="11"/>
      <c r="M3341" s="11"/>
      <c r="N3341" s="11"/>
      <c r="O3341" s="11"/>
      <c r="P3341" s="11"/>
      <c r="Q3341" s="11"/>
      <c r="R3341" s="11"/>
      <c r="S3341" s="11"/>
    </row>
    <row r="3342" spans="1:19" s="9" customFormat="1" x14ac:dyDescent="0.25">
      <c r="A3342" s="10"/>
      <c r="B3342" s="11"/>
      <c r="C3342" s="11"/>
      <c r="D3342" s="11"/>
      <c r="E3342" s="11"/>
      <c r="F3342" s="11"/>
      <c r="G3342" s="11"/>
      <c r="H3342" s="11"/>
      <c r="I3342" s="11"/>
      <c r="J3342" s="11"/>
      <c r="K3342" s="11"/>
      <c r="L3342" s="11"/>
      <c r="M3342" s="11"/>
      <c r="N3342" s="11"/>
      <c r="O3342" s="11"/>
      <c r="P3342" s="11"/>
      <c r="Q3342" s="11"/>
      <c r="R3342" s="11"/>
      <c r="S3342" s="11"/>
    </row>
    <row r="3343" spans="1:19" s="9" customFormat="1" x14ac:dyDescent="0.25">
      <c r="A3343" s="10"/>
      <c r="B3343" s="11"/>
      <c r="C3343" s="11"/>
      <c r="D3343" s="11"/>
      <c r="E3343" s="11"/>
      <c r="F3343" s="11"/>
      <c r="G3343" s="11"/>
      <c r="H3343" s="11"/>
      <c r="I3343" s="11"/>
      <c r="J3343" s="11"/>
      <c r="K3343" s="11"/>
      <c r="L3343" s="11"/>
      <c r="M3343" s="11"/>
      <c r="N3343" s="11"/>
      <c r="O3343" s="11"/>
      <c r="P3343" s="11"/>
      <c r="Q3343" s="11"/>
      <c r="R3343" s="11"/>
      <c r="S3343" s="11"/>
    </row>
    <row r="3344" spans="1:19" s="9" customFormat="1" x14ac:dyDescent="0.25">
      <c r="A3344" s="10"/>
      <c r="B3344" s="11"/>
      <c r="C3344" s="11"/>
      <c r="D3344" s="11"/>
      <c r="E3344" s="11"/>
      <c r="F3344" s="11"/>
      <c r="G3344" s="11"/>
      <c r="H3344" s="11"/>
      <c r="I3344" s="11"/>
      <c r="J3344" s="11"/>
      <c r="K3344" s="11"/>
      <c r="L3344" s="11"/>
      <c r="M3344" s="11"/>
      <c r="N3344" s="11"/>
      <c r="O3344" s="11"/>
      <c r="P3344" s="11"/>
      <c r="Q3344" s="11"/>
      <c r="R3344" s="11"/>
      <c r="S3344" s="11"/>
    </row>
    <row r="3345" spans="1:19" s="9" customFormat="1" x14ac:dyDescent="0.25">
      <c r="A3345" s="10"/>
      <c r="B3345" s="11"/>
      <c r="C3345" s="11"/>
      <c r="D3345" s="11"/>
      <c r="E3345" s="11"/>
      <c r="F3345" s="11"/>
      <c r="G3345" s="11"/>
      <c r="H3345" s="11"/>
      <c r="I3345" s="11"/>
      <c r="J3345" s="11"/>
      <c r="K3345" s="11"/>
      <c r="L3345" s="11"/>
      <c r="M3345" s="11"/>
      <c r="N3345" s="11"/>
      <c r="O3345" s="11"/>
      <c r="P3345" s="11"/>
      <c r="Q3345" s="11"/>
      <c r="R3345" s="11"/>
      <c r="S3345" s="11"/>
    </row>
    <row r="3346" spans="1:19" s="9" customFormat="1" x14ac:dyDescent="0.25">
      <c r="A3346" s="10"/>
      <c r="B3346" s="11"/>
      <c r="C3346" s="11"/>
      <c r="D3346" s="11"/>
      <c r="E3346" s="11"/>
      <c r="F3346" s="11"/>
      <c r="G3346" s="11"/>
      <c r="H3346" s="11"/>
      <c r="I3346" s="11"/>
      <c r="J3346" s="11"/>
      <c r="K3346" s="11"/>
      <c r="L3346" s="11"/>
      <c r="M3346" s="11"/>
      <c r="N3346" s="11"/>
      <c r="O3346" s="11"/>
      <c r="P3346" s="11"/>
      <c r="Q3346" s="11"/>
      <c r="R3346" s="11"/>
      <c r="S3346" s="11"/>
    </row>
    <row r="3347" spans="1:19" s="9" customFormat="1" x14ac:dyDescent="0.25">
      <c r="A3347" s="10"/>
      <c r="B3347" s="11"/>
      <c r="C3347" s="11"/>
      <c r="D3347" s="11"/>
      <c r="E3347" s="11"/>
      <c r="F3347" s="11"/>
      <c r="G3347" s="11"/>
      <c r="H3347" s="11"/>
      <c r="I3347" s="11"/>
      <c r="J3347" s="11"/>
      <c r="K3347" s="11"/>
      <c r="L3347" s="11"/>
      <c r="M3347" s="11"/>
      <c r="N3347" s="11"/>
      <c r="O3347" s="11"/>
      <c r="P3347" s="11"/>
      <c r="Q3347" s="11"/>
      <c r="R3347" s="11"/>
      <c r="S3347" s="11"/>
    </row>
    <row r="3348" spans="1:19" s="9" customFormat="1" x14ac:dyDescent="0.25">
      <c r="A3348" s="10"/>
      <c r="B3348" s="11"/>
      <c r="C3348" s="11"/>
      <c r="D3348" s="11"/>
      <c r="E3348" s="11"/>
      <c r="F3348" s="11"/>
      <c r="G3348" s="11"/>
      <c r="H3348" s="11"/>
      <c r="I3348" s="11"/>
      <c r="J3348" s="11"/>
      <c r="K3348" s="11"/>
      <c r="L3348" s="11"/>
      <c r="M3348" s="11"/>
      <c r="N3348" s="11"/>
      <c r="O3348" s="11"/>
      <c r="P3348" s="11"/>
      <c r="Q3348" s="11"/>
      <c r="R3348" s="11"/>
      <c r="S3348" s="11"/>
    </row>
    <row r="3349" spans="1:19" s="9" customFormat="1" x14ac:dyDescent="0.25">
      <c r="A3349" s="10"/>
      <c r="B3349" s="11"/>
      <c r="C3349" s="11"/>
      <c r="D3349" s="11"/>
      <c r="E3349" s="11"/>
      <c r="F3349" s="11"/>
      <c r="G3349" s="11"/>
      <c r="H3349" s="11"/>
      <c r="I3349" s="11"/>
      <c r="J3349" s="11"/>
      <c r="K3349" s="11"/>
      <c r="L3349" s="11"/>
      <c r="M3349" s="11"/>
      <c r="N3349" s="11"/>
      <c r="O3349" s="11"/>
      <c r="P3349" s="11"/>
      <c r="Q3349" s="11"/>
      <c r="R3349" s="11"/>
      <c r="S3349" s="11"/>
    </row>
    <row r="3350" spans="1:19" s="9" customFormat="1" x14ac:dyDescent="0.25">
      <c r="A3350" s="10"/>
      <c r="B3350" s="11"/>
      <c r="C3350" s="11"/>
      <c r="D3350" s="11"/>
      <c r="E3350" s="11"/>
      <c r="F3350" s="11"/>
      <c r="G3350" s="11"/>
      <c r="H3350" s="11"/>
      <c r="I3350" s="11"/>
      <c r="J3350" s="11"/>
      <c r="K3350" s="11"/>
      <c r="L3350" s="11"/>
      <c r="M3350" s="11"/>
      <c r="N3350" s="11"/>
      <c r="O3350" s="11"/>
      <c r="P3350" s="11"/>
      <c r="Q3350" s="11"/>
      <c r="R3350" s="11"/>
      <c r="S3350" s="11"/>
    </row>
    <row r="3351" spans="1:19" s="9" customFormat="1" x14ac:dyDescent="0.25">
      <c r="A3351" s="10"/>
      <c r="B3351" s="11"/>
      <c r="C3351" s="11"/>
      <c r="D3351" s="11"/>
      <c r="E3351" s="11"/>
      <c r="F3351" s="11"/>
      <c r="G3351" s="11"/>
      <c r="H3351" s="11"/>
      <c r="I3351" s="11"/>
      <c r="J3351" s="11"/>
      <c r="K3351" s="11"/>
      <c r="L3351" s="11"/>
      <c r="M3351" s="11"/>
      <c r="N3351" s="11"/>
      <c r="O3351" s="11"/>
      <c r="P3351" s="11"/>
      <c r="Q3351" s="11"/>
      <c r="R3351" s="11"/>
      <c r="S3351" s="11"/>
    </row>
    <row r="3352" spans="1:19" s="9" customFormat="1" x14ac:dyDescent="0.25">
      <c r="A3352" s="10"/>
      <c r="B3352" s="11"/>
      <c r="C3352" s="11"/>
      <c r="D3352" s="11"/>
      <c r="E3352" s="11"/>
      <c r="F3352" s="11"/>
      <c r="G3352" s="11"/>
      <c r="H3352" s="11"/>
      <c r="I3352" s="11"/>
      <c r="J3352" s="11"/>
      <c r="K3352" s="11"/>
      <c r="L3352" s="11"/>
      <c r="M3352" s="11"/>
      <c r="N3352" s="11"/>
      <c r="O3352" s="11"/>
      <c r="P3352" s="11"/>
      <c r="Q3352" s="11"/>
      <c r="R3352" s="11"/>
      <c r="S3352" s="11"/>
    </row>
    <row r="3353" spans="1:19" s="9" customFormat="1" x14ac:dyDescent="0.25">
      <c r="A3353" s="10"/>
      <c r="B3353" s="11"/>
      <c r="C3353" s="11"/>
      <c r="D3353" s="11"/>
      <c r="E3353" s="11"/>
      <c r="F3353" s="11"/>
      <c r="G3353" s="11"/>
      <c r="H3353" s="11"/>
      <c r="I3353" s="11"/>
      <c r="J3353" s="11"/>
      <c r="K3353" s="11"/>
      <c r="L3353" s="11"/>
      <c r="M3353" s="11"/>
      <c r="N3353" s="11"/>
      <c r="O3353" s="11"/>
      <c r="P3353" s="11"/>
      <c r="Q3353" s="11"/>
      <c r="R3353" s="11"/>
      <c r="S3353" s="11"/>
    </row>
    <row r="3354" spans="1:19" s="9" customFormat="1" x14ac:dyDescent="0.25">
      <c r="A3354" s="10"/>
      <c r="B3354" s="11"/>
      <c r="C3354" s="11"/>
      <c r="D3354" s="11"/>
      <c r="E3354" s="11"/>
      <c r="F3354" s="11"/>
      <c r="G3354" s="11"/>
      <c r="H3354" s="11"/>
      <c r="I3354" s="11"/>
      <c r="J3354" s="11"/>
      <c r="K3354" s="11"/>
      <c r="L3354" s="11"/>
      <c r="M3354" s="11"/>
      <c r="N3354" s="11"/>
      <c r="O3354" s="11"/>
      <c r="P3354" s="11"/>
      <c r="Q3354" s="11"/>
      <c r="R3354" s="11"/>
      <c r="S3354" s="11"/>
    </row>
    <row r="3355" spans="1:19" s="9" customFormat="1" x14ac:dyDescent="0.25">
      <c r="A3355" s="10"/>
      <c r="B3355" s="11"/>
      <c r="C3355" s="11"/>
      <c r="D3355" s="11"/>
      <c r="E3355" s="11"/>
      <c r="F3355" s="11"/>
      <c r="G3355" s="11"/>
      <c r="H3355" s="11"/>
      <c r="I3355" s="11"/>
      <c r="J3355" s="11"/>
      <c r="K3355" s="11"/>
      <c r="L3355" s="11"/>
      <c r="M3355" s="11"/>
      <c r="N3355" s="11"/>
      <c r="O3355" s="11"/>
      <c r="P3355" s="11"/>
      <c r="Q3355" s="11"/>
      <c r="R3355" s="11"/>
      <c r="S3355" s="11"/>
    </row>
    <row r="3356" spans="1:19" s="9" customFormat="1" x14ac:dyDescent="0.25">
      <c r="A3356" s="10"/>
      <c r="B3356" s="11"/>
      <c r="C3356" s="11"/>
      <c r="D3356" s="11"/>
      <c r="E3356" s="11"/>
      <c r="F3356" s="11"/>
      <c r="G3356" s="11"/>
      <c r="H3356" s="11"/>
      <c r="I3356" s="11"/>
      <c r="J3356" s="11"/>
      <c r="K3356" s="11"/>
      <c r="L3356" s="11"/>
      <c r="M3356" s="11"/>
      <c r="N3356" s="11"/>
      <c r="O3356" s="11"/>
      <c r="P3356" s="11"/>
      <c r="Q3356" s="11"/>
      <c r="R3356" s="11"/>
      <c r="S3356" s="11"/>
    </row>
    <row r="3357" spans="1:19" s="9" customFormat="1" x14ac:dyDescent="0.25">
      <c r="A3357" s="10"/>
      <c r="B3357" s="11"/>
      <c r="C3357" s="11"/>
      <c r="D3357" s="11"/>
      <c r="E3357" s="11"/>
      <c r="F3357" s="11"/>
      <c r="G3357" s="11"/>
      <c r="H3357" s="11"/>
      <c r="I3357" s="11"/>
      <c r="J3357" s="11"/>
      <c r="K3357" s="11"/>
      <c r="L3357" s="11"/>
      <c r="M3357" s="11"/>
      <c r="N3357" s="11"/>
      <c r="O3357" s="11"/>
      <c r="P3357" s="11"/>
      <c r="Q3357" s="11"/>
      <c r="R3357" s="11"/>
      <c r="S3357" s="11"/>
    </row>
    <row r="3358" spans="1:19" s="9" customFormat="1" x14ac:dyDescent="0.25">
      <c r="A3358" s="10"/>
      <c r="B3358" s="11"/>
      <c r="C3358" s="11"/>
      <c r="D3358" s="11"/>
      <c r="E3358" s="11"/>
      <c r="F3358" s="11"/>
      <c r="G3358" s="11"/>
      <c r="H3358" s="11"/>
      <c r="I3358" s="11"/>
      <c r="J3358" s="11"/>
      <c r="K3358" s="11"/>
      <c r="L3358" s="11"/>
      <c r="M3358" s="11"/>
      <c r="N3358" s="11"/>
      <c r="O3358" s="11"/>
      <c r="P3358" s="11"/>
      <c r="Q3358" s="11"/>
      <c r="R3358" s="11"/>
      <c r="S3358" s="11"/>
    </row>
    <row r="3359" spans="1:19" s="9" customFormat="1" x14ac:dyDescent="0.25">
      <c r="A3359" s="10"/>
      <c r="B3359" s="11"/>
      <c r="C3359" s="11"/>
      <c r="D3359" s="11"/>
      <c r="E3359" s="11"/>
      <c r="F3359" s="11"/>
      <c r="G3359" s="11"/>
      <c r="H3359" s="11"/>
      <c r="I3359" s="11"/>
      <c r="J3359" s="11"/>
      <c r="K3359" s="11"/>
      <c r="L3359" s="11"/>
      <c r="M3359" s="11"/>
      <c r="N3359" s="11"/>
      <c r="O3359" s="11"/>
      <c r="P3359" s="11"/>
      <c r="Q3359" s="11"/>
      <c r="R3359" s="11"/>
      <c r="S3359" s="11"/>
    </row>
    <row r="3360" spans="1:19" s="9" customFormat="1" x14ac:dyDescent="0.25">
      <c r="A3360" s="10"/>
      <c r="B3360" s="11"/>
      <c r="C3360" s="11"/>
      <c r="D3360" s="11"/>
      <c r="E3360" s="11"/>
      <c r="F3360" s="11"/>
      <c r="G3360" s="11"/>
      <c r="H3360" s="11"/>
      <c r="I3360" s="11"/>
      <c r="J3360" s="11"/>
      <c r="K3360" s="11"/>
      <c r="L3360" s="11"/>
      <c r="M3360" s="11"/>
      <c r="N3360" s="11"/>
      <c r="O3360" s="11"/>
      <c r="P3360" s="11"/>
      <c r="Q3360" s="11"/>
      <c r="R3360" s="11"/>
      <c r="S3360" s="11"/>
    </row>
    <row r="3361" spans="1:19" s="9" customFormat="1" x14ac:dyDescent="0.25">
      <c r="A3361" s="10"/>
      <c r="B3361" s="11"/>
      <c r="C3361" s="11"/>
      <c r="D3361" s="11"/>
      <c r="E3361" s="11"/>
      <c r="F3361" s="11"/>
      <c r="G3361" s="11"/>
      <c r="H3361" s="11"/>
      <c r="I3361" s="11"/>
      <c r="J3361" s="11"/>
      <c r="K3361" s="11"/>
      <c r="L3361" s="11"/>
      <c r="M3361" s="11"/>
      <c r="N3361" s="11"/>
      <c r="O3361" s="11"/>
      <c r="P3361" s="11"/>
      <c r="Q3361" s="11"/>
      <c r="R3361" s="11"/>
      <c r="S3361" s="11"/>
    </row>
    <row r="3362" spans="1:19" s="9" customFormat="1" x14ac:dyDescent="0.25">
      <c r="A3362" s="10"/>
      <c r="B3362" s="11"/>
      <c r="C3362" s="11"/>
      <c r="D3362" s="11"/>
      <c r="E3362" s="11"/>
      <c r="F3362" s="11"/>
      <c r="G3362" s="11"/>
      <c r="H3362" s="11"/>
      <c r="I3362" s="11"/>
      <c r="J3362" s="11"/>
      <c r="K3362" s="11"/>
      <c r="L3362" s="11"/>
      <c r="M3362" s="11"/>
      <c r="N3362" s="11"/>
      <c r="O3362" s="11"/>
      <c r="P3362" s="11"/>
      <c r="Q3362" s="11"/>
      <c r="R3362" s="11"/>
      <c r="S3362" s="11"/>
    </row>
    <row r="3363" spans="1:19" s="9" customFormat="1" x14ac:dyDescent="0.25">
      <c r="A3363" s="10"/>
      <c r="B3363" s="11"/>
      <c r="C3363" s="11"/>
      <c r="D3363" s="11"/>
      <c r="E3363" s="11"/>
      <c r="F3363" s="11"/>
      <c r="G3363" s="11"/>
      <c r="H3363" s="11"/>
      <c r="I3363" s="11"/>
      <c r="J3363" s="11"/>
      <c r="K3363" s="11"/>
      <c r="L3363" s="11"/>
      <c r="M3363" s="11"/>
      <c r="N3363" s="11"/>
      <c r="O3363" s="11"/>
      <c r="P3363" s="11"/>
      <c r="Q3363" s="11"/>
      <c r="R3363" s="11"/>
      <c r="S3363" s="11"/>
    </row>
    <row r="3364" spans="1:19" s="9" customFormat="1" x14ac:dyDescent="0.25">
      <c r="A3364" s="10"/>
      <c r="B3364" s="11"/>
      <c r="C3364" s="11"/>
      <c r="D3364" s="11"/>
      <c r="E3364" s="11"/>
      <c r="F3364" s="11"/>
      <c r="G3364" s="11"/>
      <c r="H3364" s="11"/>
      <c r="I3364" s="11"/>
      <c r="J3364" s="11"/>
      <c r="K3364" s="11"/>
      <c r="L3364" s="11"/>
      <c r="M3364" s="11"/>
      <c r="N3364" s="11"/>
      <c r="O3364" s="11"/>
      <c r="P3364" s="11"/>
      <c r="Q3364" s="11"/>
      <c r="R3364" s="11"/>
      <c r="S3364" s="11"/>
    </row>
    <row r="3365" spans="1:19" s="9" customFormat="1" x14ac:dyDescent="0.25">
      <c r="A3365" s="10"/>
      <c r="B3365" s="11"/>
      <c r="C3365" s="11"/>
      <c r="D3365" s="11"/>
      <c r="E3365" s="11"/>
      <c r="F3365" s="11"/>
      <c r="G3365" s="11"/>
      <c r="H3365" s="11"/>
      <c r="I3365" s="11"/>
      <c r="J3365" s="11"/>
      <c r="K3365" s="11"/>
      <c r="L3365" s="11"/>
      <c r="M3365" s="11"/>
      <c r="N3365" s="11"/>
      <c r="O3365" s="11"/>
      <c r="P3365" s="11"/>
      <c r="Q3365" s="11"/>
      <c r="R3365" s="11"/>
      <c r="S3365" s="11"/>
    </row>
    <row r="3366" spans="1:19" s="9" customFormat="1" x14ac:dyDescent="0.25">
      <c r="A3366" s="10"/>
      <c r="B3366" s="11"/>
      <c r="C3366" s="11"/>
      <c r="D3366" s="11"/>
      <c r="E3366" s="11"/>
      <c r="F3366" s="11"/>
      <c r="G3366" s="11"/>
      <c r="H3366" s="11"/>
      <c r="I3366" s="11"/>
      <c r="J3366" s="11"/>
      <c r="K3366" s="11"/>
      <c r="L3366" s="11"/>
      <c r="M3366" s="11"/>
      <c r="N3366" s="11"/>
      <c r="O3366" s="11"/>
      <c r="P3366" s="11"/>
      <c r="Q3366" s="11"/>
      <c r="R3366" s="11"/>
      <c r="S3366" s="11"/>
    </row>
    <row r="3367" spans="1:19" s="9" customFormat="1" x14ac:dyDescent="0.25">
      <c r="A3367" s="10"/>
      <c r="B3367" s="11"/>
      <c r="C3367" s="11"/>
      <c r="D3367" s="11"/>
      <c r="E3367" s="11"/>
      <c r="F3367" s="11"/>
      <c r="G3367" s="11"/>
      <c r="H3367" s="11"/>
      <c r="I3367" s="11"/>
      <c r="J3367" s="11"/>
      <c r="K3367" s="11"/>
      <c r="L3367" s="11"/>
      <c r="M3367" s="11"/>
      <c r="N3367" s="11"/>
      <c r="O3367" s="11"/>
      <c r="P3367" s="11"/>
      <c r="Q3367" s="11"/>
      <c r="R3367" s="11"/>
      <c r="S3367" s="11"/>
    </row>
    <row r="3368" spans="1:19" s="9" customFormat="1" x14ac:dyDescent="0.25">
      <c r="A3368" s="10"/>
      <c r="B3368" s="11"/>
      <c r="C3368" s="11"/>
      <c r="D3368" s="11"/>
      <c r="E3368" s="11"/>
      <c r="F3368" s="11"/>
      <c r="G3368" s="11"/>
      <c r="H3368" s="11"/>
      <c r="I3368" s="11"/>
      <c r="J3368" s="11"/>
      <c r="K3368" s="11"/>
      <c r="L3368" s="11"/>
      <c r="M3368" s="11"/>
      <c r="N3368" s="11"/>
      <c r="O3368" s="11"/>
      <c r="P3368" s="11"/>
      <c r="Q3368" s="11"/>
      <c r="R3368" s="11"/>
      <c r="S3368" s="11"/>
    </row>
    <row r="3369" spans="1:19" s="9" customFormat="1" x14ac:dyDescent="0.25">
      <c r="A3369" s="10"/>
      <c r="B3369" s="11"/>
      <c r="C3369" s="11"/>
      <c r="D3369" s="11"/>
      <c r="E3369" s="11"/>
      <c r="F3369" s="11"/>
      <c r="G3369" s="11"/>
      <c r="H3369" s="11"/>
      <c r="I3369" s="11"/>
      <c r="J3369" s="11"/>
      <c r="K3369" s="11"/>
      <c r="L3369" s="11"/>
      <c r="M3369" s="11"/>
      <c r="N3369" s="11"/>
      <c r="O3369" s="11"/>
      <c r="P3369" s="11"/>
      <c r="Q3369" s="11"/>
      <c r="R3369" s="11"/>
      <c r="S3369" s="11"/>
    </row>
    <row r="3370" spans="1:19" s="9" customFormat="1" x14ac:dyDescent="0.25">
      <c r="A3370" s="10"/>
      <c r="B3370" s="11"/>
      <c r="C3370" s="11"/>
      <c r="D3370" s="11"/>
      <c r="E3370" s="11"/>
      <c r="F3370" s="11"/>
      <c r="G3370" s="11"/>
      <c r="H3370" s="11"/>
      <c r="I3370" s="11"/>
      <c r="J3370" s="11"/>
      <c r="K3370" s="11"/>
      <c r="L3370" s="11"/>
      <c r="M3370" s="11"/>
      <c r="N3370" s="11"/>
      <c r="O3370" s="11"/>
      <c r="P3370" s="11"/>
      <c r="Q3370" s="11"/>
      <c r="R3370" s="11"/>
      <c r="S3370" s="11"/>
    </row>
    <row r="3371" spans="1:19" s="9" customFormat="1" x14ac:dyDescent="0.25">
      <c r="A3371" s="10"/>
      <c r="B3371" s="11"/>
      <c r="C3371" s="11"/>
      <c r="D3371" s="11"/>
      <c r="E3371" s="11"/>
      <c r="F3371" s="11"/>
      <c r="G3371" s="11"/>
      <c r="H3371" s="11"/>
      <c r="I3371" s="11"/>
      <c r="J3371" s="11"/>
      <c r="K3371" s="11"/>
      <c r="L3371" s="11"/>
      <c r="M3371" s="11"/>
      <c r="N3371" s="11"/>
      <c r="O3371" s="11"/>
      <c r="P3371" s="11"/>
      <c r="Q3371" s="11"/>
      <c r="R3371" s="11"/>
      <c r="S3371" s="11"/>
    </row>
    <row r="3372" spans="1:19" s="9" customFormat="1" x14ac:dyDescent="0.25">
      <c r="A3372" s="10"/>
      <c r="B3372" s="11"/>
      <c r="C3372" s="11"/>
      <c r="D3372" s="11"/>
      <c r="E3372" s="11"/>
      <c r="F3372" s="11"/>
      <c r="G3372" s="11"/>
      <c r="H3372" s="11"/>
      <c r="I3372" s="11"/>
      <c r="J3372" s="11"/>
      <c r="K3372" s="11"/>
      <c r="L3372" s="11"/>
      <c r="M3372" s="11"/>
      <c r="N3372" s="11"/>
      <c r="O3372" s="11"/>
      <c r="P3372" s="11"/>
      <c r="Q3372" s="11"/>
      <c r="R3372" s="11"/>
      <c r="S3372" s="11"/>
    </row>
    <row r="3373" spans="1:19" s="9" customFormat="1" x14ac:dyDescent="0.25">
      <c r="A3373" s="10"/>
      <c r="B3373" s="11"/>
      <c r="C3373" s="11"/>
      <c r="D3373" s="11"/>
      <c r="E3373" s="11"/>
      <c r="F3373" s="11"/>
      <c r="G3373" s="11"/>
      <c r="H3373" s="11"/>
      <c r="I3373" s="11"/>
      <c r="J3373" s="11"/>
      <c r="K3373" s="11"/>
      <c r="L3373" s="11"/>
      <c r="M3373" s="11"/>
      <c r="N3373" s="11"/>
      <c r="O3373" s="11"/>
      <c r="P3373" s="11"/>
      <c r="Q3373" s="11"/>
      <c r="R3373" s="11"/>
      <c r="S3373" s="11"/>
    </row>
    <row r="3374" spans="1:19" s="9" customFormat="1" x14ac:dyDescent="0.25">
      <c r="A3374" s="10"/>
      <c r="B3374" s="11"/>
      <c r="C3374" s="11"/>
      <c r="D3374" s="11"/>
      <c r="E3374" s="11"/>
      <c r="F3374" s="11"/>
      <c r="G3374" s="11"/>
      <c r="H3374" s="11"/>
      <c r="I3374" s="11"/>
      <c r="J3374" s="11"/>
      <c r="K3374" s="11"/>
      <c r="L3374" s="11"/>
      <c r="M3374" s="11"/>
      <c r="N3374" s="11"/>
      <c r="O3374" s="11"/>
      <c r="P3374" s="11"/>
      <c r="Q3374" s="11"/>
      <c r="R3374" s="11"/>
      <c r="S3374" s="11"/>
    </row>
    <row r="3375" spans="1:19" s="9" customFormat="1" x14ac:dyDescent="0.25">
      <c r="A3375" s="10"/>
      <c r="B3375" s="11"/>
      <c r="C3375" s="11"/>
      <c r="D3375" s="11"/>
      <c r="E3375" s="11"/>
      <c r="F3375" s="11"/>
      <c r="G3375" s="11"/>
      <c r="H3375" s="11"/>
      <c r="I3375" s="11"/>
      <c r="J3375" s="11"/>
      <c r="K3375" s="11"/>
      <c r="L3375" s="11"/>
      <c r="M3375" s="11"/>
      <c r="N3375" s="11"/>
      <c r="O3375" s="11"/>
      <c r="P3375" s="11"/>
      <c r="Q3375" s="11"/>
      <c r="R3375" s="11"/>
      <c r="S3375" s="11"/>
    </row>
    <row r="3376" spans="1:19" s="9" customFormat="1" x14ac:dyDescent="0.25">
      <c r="A3376" s="10"/>
      <c r="B3376" s="11"/>
      <c r="C3376" s="11"/>
      <c r="D3376" s="11"/>
      <c r="E3376" s="11"/>
      <c r="F3376" s="11"/>
      <c r="G3376" s="11"/>
      <c r="H3376" s="11"/>
      <c r="I3376" s="11"/>
      <c r="J3376" s="11"/>
      <c r="K3376" s="11"/>
      <c r="L3376" s="11"/>
      <c r="M3376" s="11"/>
      <c r="N3376" s="11"/>
      <c r="O3376" s="11"/>
      <c r="P3376" s="11"/>
      <c r="Q3376" s="11"/>
      <c r="R3376" s="11"/>
      <c r="S3376" s="11"/>
    </row>
    <row r="3377" spans="1:19" s="9" customFormat="1" x14ac:dyDescent="0.25">
      <c r="A3377" s="10"/>
      <c r="B3377" s="11"/>
      <c r="C3377" s="11"/>
      <c r="D3377" s="11"/>
      <c r="E3377" s="11"/>
      <c r="F3377" s="11"/>
      <c r="G3377" s="11"/>
      <c r="H3377" s="11"/>
      <c r="I3377" s="11"/>
      <c r="J3377" s="11"/>
      <c r="K3377" s="11"/>
      <c r="L3377" s="11"/>
      <c r="M3377" s="11"/>
      <c r="N3377" s="11"/>
      <c r="O3377" s="11"/>
      <c r="P3377" s="11"/>
      <c r="Q3377" s="11"/>
      <c r="R3377" s="11"/>
      <c r="S3377" s="11"/>
    </row>
    <row r="3378" spans="1:19" s="9" customFormat="1" x14ac:dyDescent="0.25">
      <c r="A3378" s="10"/>
      <c r="B3378" s="11"/>
      <c r="C3378" s="11"/>
      <c r="D3378" s="11"/>
      <c r="E3378" s="11"/>
      <c r="F3378" s="11"/>
      <c r="G3378" s="11"/>
      <c r="H3378" s="11"/>
      <c r="I3378" s="11"/>
      <c r="J3378" s="11"/>
      <c r="K3378" s="11"/>
      <c r="L3378" s="11"/>
      <c r="M3378" s="11"/>
      <c r="N3378" s="11"/>
      <c r="O3378" s="11"/>
      <c r="P3378" s="11"/>
      <c r="Q3378" s="11"/>
      <c r="R3378" s="11"/>
      <c r="S3378" s="11"/>
    </row>
    <row r="3379" spans="1:19" s="9" customFormat="1" x14ac:dyDescent="0.25">
      <c r="A3379" s="10"/>
      <c r="B3379" s="11"/>
      <c r="C3379" s="11"/>
      <c r="D3379" s="11"/>
      <c r="E3379" s="11"/>
      <c r="F3379" s="11"/>
      <c r="G3379" s="11"/>
      <c r="H3379" s="11"/>
      <c r="I3379" s="11"/>
      <c r="J3379" s="11"/>
      <c r="K3379" s="11"/>
      <c r="L3379" s="11"/>
      <c r="M3379" s="11"/>
      <c r="N3379" s="11"/>
      <c r="O3379" s="11"/>
      <c r="P3379" s="11"/>
      <c r="Q3379" s="11"/>
      <c r="R3379" s="11"/>
      <c r="S3379" s="11"/>
    </row>
    <row r="3380" spans="1:19" s="9" customFormat="1" x14ac:dyDescent="0.25">
      <c r="A3380" s="10"/>
      <c r="B3380" s="11"/>
      <c r="C3380" s="11"/>
      <c r="D3380" s="11"/>
      <c r="E3380" s="11"/>
      <c r="F3380" s="11"/>
      <c r="G3380" s="11"/>
      <c r="H3380" s="11"/>
      <c r="I3380" s="11"/>
      <c r="J3380" s="11"/>
      <c r="K3380" s="11"/>
      <c r="L3380" s="11"/>
      <c r="M3380" s="11"/>
      <c r="N3380" s="11"/>
      <c r="O3380" s="11"/>
      <c r="P3380" s="11"/>
      <c r="Q3380" s="11"/>
      <c r="R3380" s="11"/>
      <c r="S3380" s="11"/>
    </row>
    <row r="3381" spans="1:19" s="9" customFormat="1" x14ac:dyDescent="0.25">
      <c r="A3381" s="10"/>
      <c r="B3381" s="11"/>
      <c r="C3381" s="11"/>
      <c r="D3381" s="11"/>
      <c r="E3381" s="11"/>
      <c r="F3381" s="11"/>
      <c r="G3381" s="11"/>
      <c r="H3381" s="11"/>
      <c r="I3381" s="11"/>
      <c r="J3381" s="11"/>
      <c r="K3381" s="11"/>
      <c r="L3381" s="11"/>
      <c r="M3381" s="11"/>
      <c r="N3381" s="11"/>
      <c r="O3381" s="11"/>
      <c r="P3381" s="11"/>
      <c r="Q3381" s="11"/>
      <c r="R3381" s="11"/>
      <c r="S3381" s="11"/>
    </row>
    <row r="3382" spans="1:19" s="9" customFormat="1" x14ac:dyDescent="0.25">
      <c r="A3382" s="10"/>
      <c r="B3382" s="11"/>
      <c r="C3382" s="11"/>
      <c r="D3382" s="11"/>
      <c r="E3382" s="11"/>
      <c r="F3382" s="11"/>
      <c r="G3382" s="11"/>
      <c r="H3382" s="11"/>
      <c r="I3382" s="11"/>
      <c r="J3382" s="11"/>
      <c r="K3382" s="11"/>
      <c r="L3382" s="11"/>
      <c r="M3382" s="11"/>
      <c r="N3382" s="11"/>
      <c r="O3382" s="11"/>
      <c r="P3382" s="11"/>
      <c r="Q3382" s="11"/>
      <c r="R3382" s="11"/>
      <c r="S3382" s="11"/>
    </row>
    <row r="3383" spans="1:19" s="9" customFormat="1" x14ac:dyDescent="0.25">
      <c r="A3383" s="10"/>
      <c r="B3383" s="11"/>
      <c r="C3383" s="11"/>
      <c r="D3383" s="11"/>
      <c r="E3383" s="11"/>
      <c r="F3383" s="11"/>
      <c r="G3383" s="11"/>
      <c r="H3383" s="11"/>
      <c r="I3383" s="11"/>
      <c r="J3383" s="11"/>
      <c r="K3383" s="11"/>
      <c r="L3383" s="11"/>
      <c r="M3383" s="11"/>
      <c r="N3383" s="11"/>
      <c r="O3383" s="11"/>
      <c r="P3383" s="11"/>
      <c r="Q3383" s="11"/>
      <c r="R3383" s="11"/>
      <c r="S3383" s="11"/>
    </row>
    <row r="3384" spans="1:19" s="9" customFormat="1" x14ac:dyDescent="0.25">
      <c r="A3384" s="10"/>
      <c r="B3384" s="11"/>
      <c r="C3384" s="11"/>
      <c r="D3384" s="11"/>
      <c r="E3384" s="11"/>
      <c r="F3384" s="11"/>
      <c r="G3384" s="11"/>
      <c r="H3384" s="11"/>
      <c r="I3384" s="11"/>
      <c r="J3384" s="11"/>
      <c r="K3384" s="11"/>
      <c r="L3384" s="11"/>
      <c r="M3384" s="11"/>
      <c r="N3384" s="11"/>
      <c r="O3384" s="11"/>
      <c r="P3384" s="11"/>
      <c r="Q3384" s="11"/>
      <c r="R3384" s="11"/>
      <c r="S3384" s="11"/>
    </row>
    <row r="3385" spans="1:19" s="9" customFormat="1" x14ac:dyDescent="0.25">
      <c r="A3385" s="10"/>
      <c r="B3385" s="11"/>
      <c r="C3385" s="11"/>
      <c r="D3385" s="11"/>
      <c r="E3385" s="11"/>
      <c r="F3385" s="11"/>
      <c r="G3385" s="11"/>
      <c r="H3385" s="11"/>
      <c r="I3385" s="11"/>
      <c r="J3385" s="11"/>
      <c r="K3385" s="11"/>
      <c r="L3385" s="11"/>
      <c r="M3385" s="11"/>
      <c r="N3385" s="11"/>
      <c r="O3385" s="11"/>
      <c r="P3385" s="11"/>
      <c r="Q3385" s="11"/>
      <c r="R3385" s="11"/>
      <c r="S3385" s="11"/>
    </row>
    <row r="3386" spans="1:19" s="9" customFormat="1" x14ac:dyDescent="0.25">
      <c r="A3386" s="10"/>
      <c r="B3386" s="11"/>
      <c r="C3386" s="11"/>
      <c r="D3386" s="11"/>
      <c r="E3386" s="11"/>
      <c r="F3386" s="11"/>
      <c r="G3386" s="11"/>
      <c r="H3386" s="11"/>
      <c r="I3386" s="11"/>
      <c r="J3386" s="11"/>
      <c r="K3386" s="11"/>
      <c r="L3386" s="11"/>
      <c r="M3386" s="11"/>
      <c r="N3386" s="11"/>
      <c r="O3386" s="11"/>
      <c r="P3386" s="11"/>
      <c r="Q3386" s="11"/>
      <c r="R3386" s="11"/>
      <c r="S3386" s="11"/>
    </row>
    <row r="3387" spans="1:19" s="9" customFormat="1" x14ac:dyDescent="0.25">
      <c r="A3387" s="10"/>
      <c r="B3387" s="11"/>
      <c r="C3387" s="11"/>
      <c r="D3387" s="11"/>
      <c r="E3387" s="11"/>
      <c r="F3387" s="11"/>
      <c r="G3387" s="11"/>
      <c r="H3387" s="11"/>
      <c r="I3387" s="11"/>
      <c r="J3387" s="11"/>
      <c r="K3387" s="11"/>
      <c r="L3387" s="11"/>
      <c r="M3387" s="11"/>
      <c r="N3387" s="11"/>
      <c r="O3387" s="11"/>
      <c r="P3387" s="11"/>
      <c r="Q3387" s="11"/>
      <c r="R3387" s="11"/>
      <c r="S3387" s="11"/>
    </row>
    <row r="3388" spans="1:19" s="9" customFormat="1" x14ac:dyDescent="0.25">
      <c r="A3388" s="10"/>
      <c r="B3388" s="11"/>
      <c r="C3388" s="11"/>
      <c r="D3388" s="11"/>
      <c r="E3388" s="11"/>
      <c r="F3388" s="11"/>
      <c r="G3388" s="11"/>
      <c r="H3388" s="11"/>
      <c r="I3388" s="11"/>
      <c r="J3388" s="11"/>
      <c r="K3388" s="11"/>
      <c r="L3388" s="11"/>
      <c r="M3388" s="11"/>
      <c r="N3388" s="11"/>
      <c r="O3388" s="11"/>
      <c r="P3388" s="11"/>
      <c r="Q3388" s="11"/>
      <c r="R3388" s="11"/>
      <c r="S3388" s="11"/>
    </row>
    <row r="3389" spans="1:19" s="9" customFormat="1" x14ac:dyDescent="0.25">
      <c r="A3389" s="10"/>
      <c r="B3389" s="11"/>
      <c r="C3389" s="11"/>
      <c r="D3389" s="11"/>
      <c r="E3389" s="11"/>
      <c r="F3389" s="11"/>
      <c r="G3389" s="11"/>
      <c r="H3389" s="11"/>
      <c r="I3389" s="11"/>
      <c r="J3389" s="11"/>
      <c r="K3389" s="11"/>
      <c r="L3389" s="11"/>
      <c r="M3389" s="11"/>
      <c r="N3389" s="11"/>
      <c r="O3389" s="11"/>
      <c r="P3389" s="11"/>
      <c r="Q3389" s="11"/>
      <c r="R3389" s="11"/>
      <c r="S3389" s="11"/>
    </row>
    <row r="3390" spans="1:19" s="9" customFormat="1" x14ac:dyDescent="0.25">
      <c r="A3390" s="10"/>
      <c r="B3390" s="11"/>
      <c r="C3390" s="11"/>
      <c r="D3390" s="11"/>
      <c r="E3390" s="11"/>
      <c r="F3390" s="11"/>
      <c r="G3390" s="11"/>
      <c r="H3390" s="11"/>
      <c r="I3390" s="11"/>
      <c r="J3390" s="11"/>
      <c r="K3390" s="11"/>
      <c r="L3390" s="11"/>
      <c r="M3390" s="11"/>
      <c r="N3390" s="11"/>
      <c r="O3390" s="11"/>
      <c r="P3390" s="11"/>
      <c r="Q3390" s="11"/>
      <c r="R3390" s="11"/>
      <c r="S3390" s="11"/>
    </row>
    <row r="3391" spans="1:19" s="9" customFormat="1" x14ac:dyDescent="0.25">
      <c r="A3391" s="10"/>
      <c r="B3391" s="11"/>
      <c r="C3391" s="11"/>
      <c r="D3391" s="11"/>
      <c r="E3391" s="11"/>
      <c r="F3391" s="11"/>
      <c r="G3391" s="11"/>
      <c r="H3391" s="11"/>
      <c r="I3391" s="11"/>
      <c r="J3391" s="11"/>
      <c r="K3391" s="11"/>
      <c r="L3391" s="11"/>
      <c r="M3391" s="11"/>
      <c r="N3391" s="11"/>
      <c r="O3391" s="11"/>
      <c r="P3391" s="11"/>
      <c r="Q3391" s="11"/>
      <c r="R3391" s="11"/>
      <c r="S3391" s="11"/>
    </row>
    <row r="3392" spans="1:19" s="9" customFormat="1" x14ac:dyDescent="0.25">
      <c r="A3392" s="10"/>
      <c r="B3392" s="11"/>
      <c r="C3392" s="11"/>
      <c r="D3392" s="11"/>
      <c r="E3392" s="11"/>
      <c r="F3392" s="11"/>
      <c r="G3392" s="11"/>
      <c r="H3392" s="11"/>
      <c r="I3392" s="11"/>
      <c r="J3392" s="11"/>
      <c r="K3392" s="11"/>
      <c r="L3392" s="11"/>
      <c r="M3392" s="11"/>
      <c r="N3392" s="11"/>
      <c r="O3392" s="11"/>
      <c r="P3392" s="11"/>
      <c r="Q3392" s="11"/>
      <c r="R3392" s="11"/>
      <c r="S3392" s="11"/>
    </row>
    <row r="3393" spans="1:19" s="9" customFormat="1" x14ac:dyDescent="0.25">
      <c r="A3393" s="10"/>
      <c r="B3393" s="11"/>
      <c r="C3393" s="11"/>
      <c r="D3393" s="11"/>
      <c r="E3393" s="11"/>
      <c r="F3393" s="11"/>
      <c r="G3393" s="11"/>
      <c r="H3393" s="11"/>
      <c r="I3393" s="11"/>
      <c r="J3393" s="11"/>
      <c r="K3393" s="11"/>
      <c r="L3393" s="11"/>
      <c r="M3393" s="11"/>
      <c r="N3393" s="11"/>
      <c r="O3393" s="11"/>
      <c r="P3393" s="11"/>
      <c r="Q3393" s="11"/>
      <c r="R3393" s="11"/>
      <c r="S3393" s="11"/>
    </row>
    <row r="3394" spans="1:19" s="9" customFormat="1" x14ac:dyDescent="0.25">
      <c r="A3394" s="10"/>
      <c r="B3394" s="11"/>
      <c r="C3394" s="11"/>
      <c r="D3394" s="11"/>
      <c r="E3394" s="11"/>
      <c r="F3394" s="11"/>
      <c r="G3394" s="11"/>
      <c r="H3394" s="11"/>
      <c r="I3394" s="11"/>
      <c r="J3394" s="11"/>
      <c r="K3394" s="11"/>
      <c r="L3394" s="11"/>
      <c r="M3394" s="11"/>
      <c r="N3394" s="11"/>
      <c r="O3394" s="11"/>
      <c r="P3394" s="11"/>
      <c r="Q3394" s="11"/>
      <c r="R3394" s="11"/>
      <c r="S3394" s="11"/>
    </row>
    <row r="3395" spans="1:19" s="9" customFormat="1" x14ac:dyDescent="0.25">
      <c r="A3395" s="10"/>
      <c r="B3395" s="11"/>
      <c r="C3395" s="11"/>
      <c r="D3395" s="11"/>
      <c r="E3395" s="11"/>
      <c r="F3395" s="11"/>
      <c r="G3395" s="11"/>
      <c r="H3395" s="11"/>
      <c r="I3395" s="11"/>
      <c r="J3395" s="11"/>
      <c r="K3395" s="11"/>
      <c r="L3395" s="11"/>
      <c r="M3395" s="11"/>
      <c r="N3395" s="11"/>
      <c r="O3395" s="11"/>
      <c r="P3395" s="11"/>
      <c r="Q3395" s="11"/>
      <c r="R3395" s="11"/>
      <c r="S3395" s="11"/>
    </row>
    <row r="3396" spans="1:19" s="9" customFormat="1" x14ac:dyDescent="0.25">
      <c r="A3396" s="10"/>
      <c r="B3396" s="11"/>
      <c r="C3396" s="11"/>
      <c r="D3396" s="11"/>
      <c r="E3396" s="11"/>
      <c r="F3396" s="11"/>
      <c r="G3396" s="11"/>
      <c r="H3396" s="11"/>
      <c r="I3396" s="11"/>
      <c r="J3396" s="11"/>
      <c r="K3396" s="11"/>
      <c r="L3396" s="11"/>
      <c r="M3396" s="11"/>
      <c r="N3396" s="11"/>
      <c r="O3396" s="11"/>
      <c r="P3396" s="11"/>
      <c r="Q3396" s="11"/>
      <c r="R3396" s="11"/>
      <c r="S3396" s="11"/>
    </row>
    <row r="3397" spans="1:19" s="9" customFormat="1" x14ac:dyDescent="0.25">
      <c r="A3397" s="10"/>
      <c r="B3397" s="11"/>
      <c r="C3397" s="11"/>
      <c r="D3397" s="11"/>
      <c r="E3397" s="11"/>
      <c r="F3397" s="11"/>
      <c r="G3397" s="11"/>
      <c r="H3397" s="11"/>
      <c r="I3397" s="11"/>
      <c r="J3397" s="11"/>
      <c r="K3397" s="11"/>
      <c r="L3397" s="11"/>
      <c r="M3397" s="11"/>
      <c r="N3397" s="11"/>
      <c r="O3397" s="11"/>
      <c r="P3397" s="11"/>
      <c r="Q3397" s="11"/>
      <c r="R3397" s="11"/>
      <c r="S3397" s="11"/>
    </row>
    <row r="3398" spans="1:19" s="9" customFormat="1" x14ac:dyDescent="0.25">
      <c r="A3398" s="10"/>
      <c r="B3398" s="11"/>
      <c r="C3398" s="11"/>
      <c r="D3398" s="11"/>
      <c r="E3398" s="11"/>
      <c r="F3398" s="11"/>
      <c r="G3398" s="11"/>
      <c r="H3398" s="11"/>
      <c r="I3398" s="11"/>
      <c r="J3398" s="11"/>
      <c r="K3398" s="11"/>
      <c r="L3398" s="11"/>
      <c r="M3398" s="11"/>
      <c r="N3398" s="11"/>
      <c r="O3398" s="11"/>
      <c r="P3398" s="11"/>
      <c r="Q3398" s="11"/>
      <c r="R3398" s="11"/>
      <c r="S3398" s="11"/>
    </row>
    <row r="3399" spans="1:19" s="9" customFormat="1" x14ac:dyDescent="0.25">
      <c r="A3399" s="10"/>
      <c r="B3399" s="11"/>
      <c r="C3399" s="11"/>
      <c r="D3399" s="11"/>
      <c r="E3399" s="11"/>
      <c r="F3399" s="11"/>
      <c r="G3399" s="11"/>
      <c r="H3399" s="11"/>
      <c r="I3399" s="11"/>
      <c r="J3399" s="11"/>
      <c r="K3399" s="11"/>
      <c r="L3399" s="11"/>
      <c r="M3399" s="11"/>
      <c r="N3399" s="11"/>
      <c r="O3399" s="11"/>
      <c r="P3399" s="11"/>
      <c r="Q3399" s="11"/>
      <c r="R3399" s="11"/>
      <c r="S3399" s="11"/>
    </row>
    <row r="3400" spans="1:19" s="9" customFormat="1" x14ac:dyDescent="0.25">
      <c r="A3400" s="10"/>
      <c r="B3400" s="11"/>
      <c r="C3400" s="11"/>
      <c r="D3400" s="11"/>
      <c r="E3400" s="11"/>
      <c r="F3400" s="11"/>
      <c r="G3400" s="11"/>
      <c r="H3400" s="11"/>
      <c r="I3400" s="11"/>
      <c r="J3400" s="11"/>
      <c r="K3400" s="11"/>
      <c r="L3400" s="11"/>
      <c r="M3400" s="11"/>
      <c r="N3400" s="11"/>
      <c r="O3400" s="11"/>
      <c r="P3400" s="11"/>
      <c r="Q3400" s="11"/>
      <c r="R3400" s="11"/>
      <c r="S3400" s="11"/>
    </row>
    <row r="3401" spans="1:19" s="9" customFormat="1" x14ac:dyDescent="0.25">
      <c r="A3401" s="10"/>
      <c r="B3401" s="11"/>
      <c r="C3401" s="11"/>
      <c r="D3401" s="11"/>
      <c r="E3401" s="11"/>
      <c r="F3401" s="11"/>
      <c r="G3401" s="11"/>
      <c r="H3401" s="11"/>
      <c r="I3401" s="11"/>
      <c r="J3401" s="11"/>
      <c r="K3401" s="11"/>
      <c r="L3401" s="11"/>
      <c r="M3401" s="11"/>
      <c r="N3401" s="11"/>
      <c r="O3401" s="11"/>
      <c r="P3401" s="11"/>
      <c r="Q3401" s="11"/>
      <c r="R3401" s="11"/>
      <c r="S3401" s="11"/>
    </row>
    <row r="3402" spans="1:19" s="9" customFormat="1" x14ac:dyDescent="0.25">
      <c r="A3402" s="10"/>
      <c r="B3402" s="11"/>
      <c r="C3402" s="11"/>
      <c r="D3402" s="11"/>
      <c r="E3402" s="11"/>
      <c r="F3402" s="11"/>
      <c r="G3402" s="11"/>
      <c r="H3402" s="11"/>
      <c r="I3402" s="11"/>
      <c r="J3402" s="11"/>
      <c r="K3402" s="11"/>
      <c r="L3402" s="11"/>
      <c r="M3402" s="11"/>
      <c r="N3402" s="11"/>
      <c r="O3402" s="11"/>
      <c r="P3402" s="11"/>
      <c r="Q3402" s="11"/>
      <c r="R3402" s="11"/>
      <c r="S3402" s="11"/>
    </row>
    <row r="3403" spans="1:19" s="9" customFormat="1" x14ac:dyDescent="0.25">
      <c r="A3403" s="10"/>
      <c r="B3403" s="11"/>
      <c r="C3403" s="11"/>
      <c r="D3403" s="11"/>
      <c r="E3403" s="11"/>
      <c r="F3403" s="11"/>
      <c r="G3403" s="11"/>
      <c r="H3403" s="11"/>
      <c r="I3403" s="11"/>
      <c r="J3403" s="11"/>
      <c r="K3403" s="11"/>
      <c r="L3403" s="11"/>
      <c r="M3403" s="11"/>
      <c r="N3403" s="11"/>
      <c r="O3403" s="11"/>
      <c r="P3403" s="11"/>
      <c r="Q3403" s="11"/>
      <c r="R3403" s="11"/>
      <c r="S3403" s="11"/>
    </row>
    <row r="3404" spans="1:19" s="9" customFormat="1" x14ac:dyDescent="0.25">
      <c r="A3404" s="10"/>
      <c r="B3404" s="11"/>
      <c r="C3404" s="11"/>
      <c r="D3404" s="11"/>
      <c r="E3404" s="11"/>
      <c r="F3404" s="11"/>
      <c r="G3404" s="11"/>
      <c r="H3404" s="11"/>
      <c r="I3404" s="11"/>
      <c r="J3404" s="11"/>
      <c r="K3404" s="11"/>
      <c r="L3404" s="11"/>
      <c r="M3404" s="11"/>
      <c r="N3404" s="11"/>
      <c r="O3404" s="11"/>
      <c r="P3404" s="11"/>
      <c r="Q3404" s="11"/>
      <c r="R3404" s="11"/>
      <c r="S3404" s="11"/>
    </row>
    <row r="3405" spans="1:19" s="9" customFormat="1" x14ac:dyDescent="0.25">
      <c r="A3405" s="10"/>
      <c r="B3405" s="11"/>
      <c r="C3405" s="11"/>
      <c r="D3405" s="11"/>
      <c r="E3405" s="11"/>
      <c r="F3405" s="11"/>
      <c r="G3405" s="11"/>
      <c r="H3405" s="11"/>
      <c r="I3405" s="11"/>
      <c r="J3405" s="11"/>
      <c r="K3405" s="11"/>
      <c r="L3405" s="11"/>
      <c r="M3405" s="11"/>
      <c r="N3405" s="11"/>
      <c r="O3405" s="11"/>
      <c r="P3405" s="11"/>
      <c r="Q3405" s="11"/>
      <c r="R3405" s="11"/>
      <c r="S3405" s="11"/>
    </row>
    <row r="3406" spans="1:19" s="9" customFormat="1" x14ac:dyDescent="0.25">
      <c r="A3406" s="10"/>
      <c r="B3406" s="11"/>
      <c r="C3406" s="11"/>
      <c r="D3406" s="11"/>
      <c r="E3406" s="11"/>
      <c r="F3406" s="11"/>
      <c r="G3406" s="11"/>
      <c r="H3406" s="11"/>
      <c r="I3406" s="11"/>
      <c r="J3406" s="11"/>
      <c r="K3406" s="11"/>
      <c r="L3406" s="11"/>
      <c r="M3406" s="11"/>
      <c r="N3406" s="11"/>
      <c r="O3406" s="11"/>
      <c r="P3406" s="11"/>
      <c r="Q3406" s="11"/>
      <c r="R3406" s="11"/>
      <c r="S3406" s="11"/>
    </row>
    <row r="3407" spans="1:19" s="9" customFormat="1" x14ac:dyDescent="0.25">
      <c r="A3407" s="10"/>
      <c r="B3407" s="11"/>
      <c r="C3407" s="11"/>
      <c r="D3407" s="11"/>
      <c r="E3407" s="11"/>
      <c r="F3407" s="11"/>
      <c r="G3407" s="11"/>
      <c r="H3407" s="11"/>
      <c r="I3407" s="11"/>
      <c r="J3407" s="11"/>
      <c r="K3407" s="11"/>
      <c r="L3407" s="11"/>
      <c r="M3407" s="11"/>
      <c r="N3407" s="11"/>
      <c r="O3407" s="11"/>
      <c r="P3407" s="11"/>
      <c r="Q3407" s="11"/>
      <c r="R3407" s="11"/>
      <c r="S3407" s="11"/>
    </row>
    <row r="3408" spans="1:19" s="9" customFormat="1" x14ac:dyDescent="0.25">
      <c r="A3408" s="10"/>
      <c r="B3408" s="11"/>
      <c r="C3408" s="11"/>
      <c r="D3408" s="11"/>
      <c r="E3408" s="11"/>
      <c r="F3408" s="11"/>
      <c r="G3408" s="11"/>
      <c r="H3408" s="11"/>
      <c r="I3408" s="11"/>
      <c r="J3408" s="11"/>
      <c r="K3408" s="11"/>
      <c r="L3408" s="11"/>
      <c r="M3408" s="11"/>
      <c r="N3408" s="11"/>
      <c r="O3408" s="11"/>
      <c r="P3408" s="11"/>
      <c r="Q3408" s="11"/>
      <c r="R3408" s="11"/>
      <c r="S3408" s="11"/>
    </row>
    <row r="3409" spans="1:19" s="9" customFormat="1" x14ac:dyDescent="0.25">
      <c r="A3409" s="10"/>
      <c r="B3409" s="11"/>
      <c r="C3409" s="11"/>
      <c r="D3409" s="11"/>
      <c r="E3409" s="11"/>
      <c r="F3409" s="11"/>
      <c r="G3409" s="11"/>
      <c r="H3409" s="11"/>
      <c r="I3409" s="11"/>
      <c r="J3409" s="11"/>
      <c r="K3409" s="11"/>
      <c r="L3409" s="11"/>
      <c r="M3409" s="11"/>
      <c r="N3409" s="11"/>
      <c r="O3409" s="11"/>
      <c r="P3409" s="11"/>
      <c r="Q3409" s="11"/>
      <c r="R3409" s="11"/>
      <c r="S3409" s="11"/>
    </row>
    <row r="3410" spans="1:19" s="9" customFormat="1" x14ac:dyDescent="0.25">
      <c r="A3410" s="10"/>
      <c r="B3410" s="11"/>
      <c r="C3410" s="11"/>
      <c r="D3410" s="11"/>
      <c r="E3410" s="11"/>
      <c r="F3410" s="11"/>
      <c r="G3410" s="11"/>
      <c r="H3410" s="11"/>
      <c r="I3410" s="11"/>
      <c r="J3410" s="11"/>
      <c r="K3410" s="11"/>
      <c r="L3410" s="11"/>
      <c r="M3410" s="11"/>
      <c r="N3410" s="11"/>
      <c r="O3410" s="11"/>
      <c r="P3410" s="11"/>
      <c r="Q3410" s="11"/>
      <c r="R3410" s="11"/>
      <c r="S3410" s="11"/>
    </row>
    <row r="3411" spans="1:19" s="9" customFormat="1" x14ac:dyDescent="0.25">
      <c r="A3411" s="10"/>
      <c r="B3411" s="11"/>
      <c r="C3411" s="11"/>
      <c r="D3411" s="11"/>
      <c r="E3411" s="11"/>
      <c r="F3411" s="11"/>
      <c r="G3411" s="11"/>
      <c r="H3411" s="11"/>
      <c r="I3411" s="11"/>
      <c r="J3411" s="11"/>
      <c r="K3411" s="11"/>
      <c r="L3411" s="11"/>
      <c r="M3411" s="11"/>
      <c r="N3411" s="11"/>
      <c r="O3411" s="11"/>
      <c r="P3411" s="11"/>
      <c r="Q3411" s="11"/>
      <c r="R3411" s="11"/>
      <c r="S3411" s="11"/>
    </row>
    <row r="3412" spans="1:19" s="9" customFormat="1" x14ac:dyDescent="0.25">
      <c r="A3412" s="10"/>
      <c r="B3412" s="11"/>
      <c r="C3412" s="11"/>
      <c r="D3412" s="11"/>
      <c r="E3412" s="11"/>
      <c r="F3412" s="11"/>
      <c r="G3412" s="11"/>
      <c r="H3412" s="11"/>
      <c r="I3412" s="11"/>
      <c r="J3412" s="11"/>
      <c r="K3412" s="11"/>
      <c r="L3412" s="11"/>
      <c r="M3412" s="11"/>
      <c r="N3412" s="11"/>
      <c r="O3412" s="11"/>
      <c r="P3412" s="11"/>
      <c r="Q3412" s="11"/>
      <c r="R3412" s="11"/>
      <c r="S3412" s="11"/>
    </row>
    <row r="3413" spans="1:19" s="9" customFormat="1" x14ac:dyDescent="0.25">
      <c r="A3413" s="10"/>
      <c r="B3413" s="11"/>
      <c r="C3413" s="11"/>
      <c r="D3413" s="11"/>
      <c r="E3413" s="11"/>
      <c r="F3413" s="11"/>
      <c r="G3413" s="11"/>
      <c r="H3413" s="11"/>
      <c r="I3413" s="11"/>
      <c r="J3413" s="11"/>
      <c r="K3413" s="11"/>
      <c r="L3413" s="11"/>
      <c r="M3413" s="11"/>
      <c r="N3413" s="11"/>
      <c r="O3413" s="11"/>
      <c r="P3413" s="11"/>
      <c r="Q3413" s="11"/>
      <c r="R3413" s="11"/>
      <c r="S3413" s="11"/>
    </row>
    <row r="3414" spans="1:19" s="9" customFormat="1" x14ac:dyDescent="0.25">
      <c r="A3414" s="10"/>
      <c r="B3414" s="11"/>
      <c r="C3414" s="11"/>
      <c r="D3414" s="11"/>
      <c r="E3414" s="11"/>
      <c r="F3414" s="11"/>
      <c r="G3414" s="11"/>
      <c r="H3414" s="11"/>
      <c r="I3414" s="11"/>
      <c r="J3414" s="11"/>
      <c r="K3414" s="11"/>
      <c r="L3414" s="11"/>
      <c r="M3414" s="11"/>
      <c r="N3414" s="11"/>
      <c r="O3414" s="11"/>
      <c r="P3414" s="11"/>
      <c r="Q3414" s="11"/>
      <c r="R3414" s="11"/>
      <c r="S3414" s="11"/>
    </row>
    <row r="3415" spans="1:19" s="9" customFormat="1" x14ac:dyDescent="0.25">
      <c r="A3415" s="10"/>
      <c r="B3415" s="11"/>
      <c r="C3415" s="11"/>
      <c r="D3415" s="11"/>
      <c r="E3415" s="11"/>
      <c r="F3415" s="11"/>
      <c r="G3415" s="11"/>
      <c r="H3415" s="11"/>
      <c r="I3415" s="11"/>
      <c r="J3415" s="11"/>
      <c r="K3415" s="11"/>
      <c r="L3415" s="11"/>
      <c r="M3415" s="11"/>
      <c r="N3415" s="11"/>
      <c r="O3415" s="11"/>
      <c r="P3415" s="11"/>
      <c r="Q3415" s="11"/>
      <c r="R3415" s="11"/>
      <c r="S3415" s="11"/>
    </row>
    <row r="3416" spans="1:19" s="9" customFormat="1" x14ac:dyDescent="0.25">
      <c r="A3416" s="10"/>
      <c r="B3416" s="11"/>
      <c r="C3416" s="11"/>
      <c r="D3416" s="11"/>
      <c r="E3416" s="11"/>
      <c r="F3416" s="11"/>
      <c r="G3416" s="11"/>
      <c r="H3416" s="11"/>
      <c r="I3416" s="11"/>
      <c r="J3416" s="11"/>
      <c r="K3416" s="11"/>
      <c r="L3416" s="11"/>
      <c r="M3416" s="11"/>
      <c r="N3416" s="11"/>
      <c r="O3416" s="11"/>
      <c r="P3416" s="11"/>
      <c r="Q3416" s="11"/>
      <c r="R3416" s="11"/>
      <c r="S3416" s="11"/>
    </row>
    <row r="3417" spans="1:19" s="9" customFormat="1" x14ac:dyDescent="0.25">
      <c r="A3417" s="10"/>
      <c r="B3417" s="11"/>
      <c r="C3417" s="11"/>
      <c r="D3417" s="11"/>
      <c r="E3417" s="11"/>
      <c r="F3417" s="11"/>
      <c r="G3417" s="11"/>
      <c r="H3417" s="11"/>
      <c r="I3417" s="11"/>
      <c r="J3417" s="11"/>
      <c r="K3417" s="11"/>
      <c r="L3417" s="11"/>
      <c r="M3417" s="11"/>
      <c r="N3417" s="11"/>
      <c r="O3417" s="11"/>
      <c r="P3417" s="11"/>
      <c r="Q3417" s="11"/>
      <c r="R3417" s="11"/>
      <c r="S3417" s="11"/>
    </row>
    <row r="3418" spans="1:19" s="9" customFormat="1" x14ac:dyDescent="0.25">
      <c r="A3418" s="10"/>
      <c r="B3418" s="11"/>
      <c r="C3418" s="11"/>
      <c r="D3418" s="11"/>
      <c r="E3418" s="11"/>
      <c r="F3418" s="11"/>
      <c r="G3418" s="11"/>
      <c r="H3418" s="11"/>
      <c r="I3418" s="11"/>
      <c r="J3418" s="11"/>
      <c r="K3418" s="11"/>
      <c r="L3418" s="11"/>
      <c r="M3418" s="11"/>
      <c r="N3418" s="11"/>
      <c r="O3418" s="11"/>
      <c r="P3418" s="11"/>
      <c r="Q3418" s="11"/>
      <c r="R3418" s="11"/>
      <c r="S3418" s="11"/>
    </row>
    <row r="3419" spans="1:19" s="9" customFormat="1" x14ac:dyDescent="0.25">
      <c r="A3419" s="10"/>
      <c r="B3419" s="11"/>
      <c r="C3419" s="11"/>
      <c r="D3419" s="11"/>
      <c r="E3419" s="11"/>
      <c r="F3419" s="11"/>
      <c r="G3419" s="11"/>
      <c r="H3419" s="11"/>
      <c r="I3419" s="11"/>
      <c r="J3419" s="11"/>
      <c r="K3419" s="11"/>
      <c r="L3419" s="11"/>
      <c r="M3419" s="11"/>
      <c r="N3419" s="11"/>
      <c r="O3419" s="11"/>
      <c r="P3419" s="11"/>
      <c r="Q3419" s="11"/>
      <c r="R3419" s="11"/>
      <c r="S3419" s="11"/>
    </row>
    <row r="3420" spans="1:19" s="9" customFormat="1" x14ac:dyDescent="0.25">
      <c r="A3420" s="10"/>
      <c r="B3420" s="11"/>
      <c r="C3420" s="11"/>
      <c r="D3420" s="11"/>
      <c r="E3420" s="11"/>
      <c r="F3420" s="11"/>
      <c r="G3420" s="11"/>
      <c r="H3420" s="11"/>
      <c r="I3420" s="11"/>
      <c r="J3420" s="11"/>
      <c r="K3420" s="11"/>
      <c r="L3420" s="11"/>
      <c r="M3420" s="11"/>
      <c r="N3420" s="11"/>
      <c r="O3420" s="11"/>
      <c r="P3420" s="11"/>
      <c r="Q3420" s="11"/>
      <c r="R3420" s="11"/>
      <c r="S3420" s="11"/>
    </row>
    <row r="3421" spans="1:19" s="9" customFormat="1" x14ac:dyDescent="0.25">
      <c r="A3421" s="10"/>
      <c r="B3421" s="11"/>
      <c r="C3421" s="11"/>
      <c r="D3421" s="11"/>
      <c r="E3421" s="11"/>
      <c r="F3421" s="11"/>
      <c r="G3421" s="11"/>
      <c r="H3421" s="11"/>
      <c r="I3421" s="11"/>
      <c r="J3421" s="11"/>
      <c r="K3421" s="11"/>
      <c r="L3421" s="11"/>
      <c r="M3421" s="11"/>
      <c r="N3421" s="11"/>
      <c r="O3421" s="11"/>
      <c r="P3421" s="11"/>
      <c r="Q3421" s="11"/>
      <c r="R3421" s="11"/>
      <c r="S3421" s="11"/>
    </row>
    <row r="3422" spans="1:19" s="9" customFormat="1" x14ac:dyDescent="0.25">
      <c r="A3422" s="10"/>
      <c r="B3422" s="11"/>
      <c r="C3422" s="11"/>
      <c r="D3422" s="11"/>
      <c r="E3422" s="11"/>
      <c r="F3422" s="11"/>
      <c r="G3422" s="11"/>
      <c r="H3422" s="11"/>
      <c r="I3422" s="11"/>
      <c r="J3422" s="11"/>
      <c r="K3422" s="11"/>
      <c r="L3422" s="11"/>
      <c r="M3422" s="11"/>
      <c r="N3422" s="11"/>
      <c r="O3422" s="11"/>
      <c r="P3422" s="11"/>
      <c r="Q3422" s="11"/>
      <c r="R3422" s="11"/>
      <c r="S3422" s="11"/>
    </row>
    <row r="3423" spans="1:19" s="9" customFormat="1" x14ac:dyDescent="0.25">
      <c r="A3423" s="10"/>
      <c r="B3423" s="11"/>
      <c r="C3423" s="11"/>
      <c r="D3423" s="11"/>
      <c r="E3423" s="11"/>
      <c r="F3423" s="11"/>
      <c r="G3423" s="11"/>
      <c r="H3423" s="11"/>
      <c r="I3423" s="11"/>
      <c r="J3423" s="11"/>
      <c r="K3423" s="11"/>
      <c r="L3423" s="11"/>
      <c r="M3423" s="11"/>
      <c r="N3423" s="11"/>
      <c r="O3423" s="11"/>
      <c r="P3423" s="11"/>
      <c r="Q3423" s="11"/>
      <c r="R3423" s="11"/>
      <c r="S3423" s="11"/>
    </row>
    <row r="3424" spans="1:19" s="9" customFormat="1" x14ac:dyDescent="0.25">
      <c r="A3424" s="10"/>
      <c r="B3424" s="11"/>
      <c r="C3424" s="11"/>
      <c r="D3424" s="11"/>
      <c r="E3424" s="11"/>
      <c r="F3424" s="11"/>
      <c r="G3424" s="11"/>
      <c r="H3424" s="11"/>
      <c r="I3424" s="11"/>
      <c r="J3424" s="11"/>
      <c r="K3424" s="11"/>
      <c r="L3424" s="11"/>
      <c r="M3424" s="11"/>
      <c r="N3424" s="11"/>
      <c r="O3424" s="11"/>
      <c r="P3424" s="11"/>
      <c r="Q3424" s="11"/>
      <c r="R3424" s="11"/>
      <c r="S3424" s="11"/>
    </row>
    <row r="3425" spans="1:19" s="9" customFormat="1" x14ac:dyDescent="0.25">
      <c r="A3425" s="10"/>
      <c r="B3425" s="11"/>
      <c r="C3425" s="11"/>
      <c r="D3425" s="11"/>
      <c r="E3425" s="11"/>
      <c r="F3425" s="11"/>
      <c r="G3425" s="11"/>
      <c r="H3425" s="11"/>
      <c r="I3425" s="11"/>
      <c r="J3425" s="11"/>
      <c r="K3425" s="11"/>
      <c r="L3425" s="11"/>
      <c r="M3425" s="11"/>
      <c r="N3425" s="11"/>
      <c r="O3425" s="11"/>
      <c r="P3425" s="11"/>
      <c r="Q3425" s="11"/>
      <c r="R3425" s="11"/>
      <c r="S3425" s="11"/>
    </row>
    <row r="3426" spans="1:19" s="9" customFormat="1" x14ac:dyDescent="0.25">
      <c r="A3426" s="10"/>
      <c r="B3426" s="11"/>
      <c r="C3426" s="11"/>
      <c r="D3426" s="11"/>
      <c r="E3426" s="11"/>
      <c r="F3426" s="11"/>
      <c r="G3426" s="11"/>
      <c r="H3426" s="11"/>
      <c r="I3426" s="11"/>
      <c r="J3426" s="11"/>
      <c r="K3426" s="11"/>
      <c r="L3426" s="11"/>
      <c r="M3426" s="11"/>
      <c r="N3426" s="11"/>
      <c r="O3426" s="11"/>
      <c r="P3426" s="11"/>
      <c r="Q3426" s="11"/>
      <c r="R3426" s="11"/>
      <c r="S3426" s="11"/>
    </row>
    <row r="3427" spans="1:19" s="9" customFormat="1" x14ac:dyDescent="0.25">
      <c r="A3427" s="10"/>
      <c r="B3427" s="11"/>
      <c r="C3427" s="11"/>
      <c r="D3427" s="11"/>
      <c r="E3427" s="11"/>
      <c r="F3427" s="11"/>
      <c r="G3427" s="11"/>
      <c r="H3427" s="11"/>
      <c r="I3427" s="11"/>
      <c r="J3427" s="11"/>
      <c r="K3427" s="11"/>
      <c r="L3427" s="11"/>
      <c r="M3427" s="11"/>
      <c r="N3427" s="11"/>
      <c r="O3427" s="11"/>
      <c r="P3427" s="11"/>
      <c r="Q3427" s="11"/>
      <c r="R3427" s="11"/>
      <c r="S3427" s="11"/>
    </row>
    <row r="3428" spans="1:19" s="9" customFormat="1" x14ac:dyDescent="0.25">
      <c r="A3428" s="10"/>
      <c r="B3428" s="11"/>
      <c r="C3428" s="11"/>
      <c r="D3428" s="11"/>
      <c r="E3428" s="11"/>
      <c r="F3428" s="11"/>
      <c r="G3428" s="11"/>
      <c r="H3428" s="11"/>
      <c r="I3428" s="11"/>
      <c r="J3428" s="11"/>
      <c r="K3428" s="11"/>
      <c r="L3428" s="11"/>
      <c r="M3428" s="11"/>
      <c r="N3428" s="11"/>
      <c r="O3428" s="11"/>
      <c r="P3428" s="11"/>
      <c r="Q3428" s="11"/>
      <c r="R3428" s="11"/>
      <c r="S3428" s="11"/>
    </row>
    <row r="3429" spans="1:19" s="9" customFormat="1" x14ac:dyDescent="0.25">
      <c r="A3429" s="10"/>
      <c r="B3429" s="11"/>
      <c r="C3429" s="11"/>
      <c r="D3429" s="11"/>
      <c r="E3429" s="11"/>
      <c r="F3429" s="11"/>
      <c r="G3429" s="11"/>
      <c r="H3429" s="11"/>
      <c r="I3429" s="11"/>
      <c r="J3429" s="11"/>
      <c r="K3429" s="11"/>
      <c r="L3429" s="11"/>
      <c r="M3429" s="11"/>
      <c r="N3429" s="11"/>
      <c r="O3429" s="11"/>
      <c r="P3429" s="11"/>
      <c r="Q3429" s="11"/>
      <c r="R3429" s="11"/>
      <c r="S3429" s="11"/>
    </row>
    <row r="3430" spans="1:19" s="9" customFormat="1" x14ac:dyDescent="0.25">
      <c r="A3430" s="10"/>
      <c r="B3430" s="11"/>
      <c r="C3430" s="11"/>
      <c r="D3430" s="11"/>
      <c r="E3430" s="11"/>
      <c r="F3430" s="11"/>
      <c r="G3430" s="11"/>
      <c r="H3430" s="11"/>
      <c r="I3430" s="11"/>
      <c r="J3430" s="11"/>
      <c r="K3430" s="11"/>
      <c r="L3430" s="11"/>
      <c r="M3430" s="11"/>
      <c r="N3430" s="11"/>
      <c r="O3430" s="11"/>
      <c r="P3430" s="11"/>
      <c r="Q3430" s="11"/>
      <c r="R3430" s="11"/>
      <c r="S3430" s="11"/>
    </row>
    <row r="3431" spans="1:19" s="9" customFormat="1" x14ac:dyDescent="0.25">
      <c r="A3431" s="10"/>
      <c r="B3431" s="11"/>
      <c r="C3431" s="11"/>
      <c r="D3431" s="11"/>
      <c r="E3431" s="11"/>
      <c r="F3431" s="11"/>
      <c r="G3431" s="11"/>
      <c r="H3431" s="11"/>
      <c r="I3431" s="11"/>
      <c r="J3431" s="11"/>
      <c r="K3431" s="11"/>
      <c r="L3431" s="11"/>
      <c r="M3431" s="11"/>
      <c r="N3431" s="11"/>
      <c r="O3431" s="11"/>
      <c r="P3431" s="11"/>
      <c r="Q3431" s="11"/>
      <c r="R3431" s="11"/>
      <c r="S3431" s="11"/>
    </row>
    <row r="3432" spans="1:19" s="9" customFormat="1" x14ac:dyDescent="0.25">
      <c r="A3432" s="10"/>
      <c r="B3432" s="11"/>
      <c r="C3432" s="11"/>
      <c r="D3432" s="11"/>
      <c r="E3432" s="11"/>
      <c r="F3432" s="11"/>
      <c r="G3432" s="11"/>
      <c r="H3432" s="11"/>
      <c r="I3432" s="11"/>
      <c r="J3432" s="11"/>
      <c r="K3432" s="11"/>
      <c r="L3432" s="11"/>
      <c r="M3432" s="11"/>
      <c r="N3432" s="11"/>
      <c r="O3432" s="11"/>
      <c r="P3432" s="11"/>
      <c r="Q3432" s="11"/>
      <c r="R3432" s="11"/>
      <c r="S3432" s="11"/>
    </row>
    <row r="3433" spans="1:19" s="9" customFormat="1" x14ac:dyDescent="0.25">
      <c r="A3433" s="10"/>
      <c r="B3433" s="11"/>
      <c r="C3433" s="11"/>
      <c r="D3433" s="11"/>
      <c r="E3433" s="11"/>
      <c r="F3433" s="11"/>
      <c r="G3433" s="11"/>
      <c r="H3433" s="11"/>
      <c r="I3433" s="11"/>
      <c r="J3433" s="11"/>
      <c r="K3433" s="11"/>
      <c r="L3433" s="11"/>
      <c r="M3433" s="11"/>
      <c r="N3433" s="11"/>
      <c r="O3433" s="11"/>
      <c r="P3433" s="11"/>
      <c r="Q3433" s="11"/>
      <c r="R3433" s="11"/>
      <c r="S3433" s="11"/>
    </row>
    <row r="3434" spans="1:19" s="9" customFormat="1" x14ac:dyDescent="0.25">
      <c r="A3434" s="10"/>
      <c r="B3434" s="11"/>
      <c r="C3434" s="11"/>
      <c r="D3434" s="11"/>
      <c r="E3434" s="11"/>
      <c r="F3434" s="11"/>
      <c r="G3434" s="11"/>
      <c r="H3434" s="11"/>
      <c r="I3434" s="11"/>
      <c r="J3434" s="11"/>
      <c r="K3434" s="11"/>
      <c r="L3434" s="11"/>
      <c r="M3434" s="11"/>
      <c r="N3434" s="11"/>
      <c r="O3434" s="11"/>
      <c r="P3434" s="11"/>
      <c r="Q3434" s="11"/>
      <c r="R3434" s="11"/>
      <c r="S3434" s="11"/>
    </row>
    <row r="3435" spans="1:19" s="9" customFormat="1" x14ac:dyDescent="0.25">
      <c r="A3435" s="10"/>
      <c r="B3435" s="11"/>
      <c r="C3435" s="11"/>
      <c r="D3435" s="11"/>
      <c r="E3435" s="11"/>
      <c r="F3435" s="11"/>
      <c r="G3435" s="11"/>
      <c r="H3435" s="11"/>
      <c r="I3435" s="11"/>
      <c r="J3435" s="11"/>
      <c r="K3435" s="11"/>
      <c r="L3435" s="11"/>
      <c r="M3435" s="11"/>
      <c r="N3435" s="11"/>
      <c r="O3435" s="11"/>
      <c r="P3435" s="11"/>
      <c r="Q3435" s="11"/>
      <c r="R3435" s="11"/>
      <c r="S3435" s="11"/>
    </row>
    <row r="3436" spans="1:19" s="9" customFormat="1" x14ac:dyDescent="0.25">
      <c r="A3436" s="10"/>
      <c r="B3436" s="11"/>
      <c r="C3436" s="11"/>
      <c r="D3436" s="11"/>
      <c r="E3436" s="11"/>
      <c r="F3436" s="11"/>
      <c r="G3436" s="11"/>
      <c r="H3436" s="11"/>
      <c r="I3436" s="11"/>
      <c r="J3436" s="11"/>
      <c r="K3436" s="11"/>
      <c r="L3436" s="11"/>
      <c r="M3436" s="11"/>
      <c r="N3436" s="11"/>
      <c r="O3436" s="11"/>
      <c r="P3436" s="11"/>
      <c r="Q3436" s="11"/>
      <c r="R3436" s="11"/>
      <c r="S3436" s="11"/>
    </row>
    <row r="3437" spans="1:19" s="9" customFormat="1" x14ac:dyDescent="0.25">
      <c r="A3437" s="10"/>
      <c r="B3437" s="11"/>
      <c r="C3437" s="11"/>
      <c r="D3437" s="11"/>
      <c r="E3437" s="11"/>
      <c r="F3437" s="11"/>
      <c r="G3437" s="11"/>
      <c r="H3437" s="11"/>
      <c r="I3437" s="11"/>
      <c r="J3437" s="11"/>
      <c r="K3437" s="11"/>
      <c r="L3437" s="11"/>
      <c r="M3437" s="11"/>
      <c r="N3437" s="11"/>
      <c r="O3437" s="11"/>
      <c r="P3437" s="11"/>
      <c r="Q3437" s="11"/>
      <c r="R3437" s="11"/>
      <c r="S3437" s="11"/>
    </row>
    <row r="3438" spans="1:19" s="9" customFormat="1" x14ac:dyDescent="0.25">
      <c r="A3438" s="10"/>
      <c r="B3438" s="11"/>
      <c r="C3438" s="11"/>
      <c r="D3438" s="11"/>
      <c r="E3438" s="11"/>
      <c r="F3438" s="11"/>
      <c r="G3438" s="11"/>
      <c r="H3438" s="11"/>
      <c r="I3438" s="11"/>
      <c r="J3438" s="11"/>
      <c r="K3438" s="11"/>
      <c r="L3438" s="11"/>
      <c r="M3438" s="11"/>
      <c r="N3438" s="11"/>
      <c r="O3438" s="11"/>
      <c r="P3438" s="11"/>
      <c r="Q3438" s="11"/>
      <c r="R3438" s="11"/>
      <c r="S3438" s="11"/>
    </row>
    <row r="3439" spans="1:19" s="9" customFormat="1" x14ac:dyDescent="0.25">
      <c r="A3439" s="10"/>
      <c r="B3439" s="11"/>
      <c r="C3439" s="11"/>
      <c r="D3439" s="11"/>
      <c r="E3439" s="11"/>
      <c r="F3439" s="11"/>
      <c r="G3439" s="11"/>
      <c r="H3439" s="11"/>
      <c r="I3439" s="11"/>
      <c r="J3439" s="11"/>
      <c r="K3439" s="11"/>
      <c r="L3439" s="11"/>
      <c r="M3439" s="11"/>
      <c r="N3439" s="11"/>
      <c r="O3439" s="11"/>
      <c r="P3439" s="11"/>
      <c r="Q3439" s="11"/>
      <c r="R3439" s="11"/>
      <c r="S3439" s="11"/>
    </row>
    <row r="3440" spans="1:19" s="9" customFormat="1" x14ac:dyDescent="0.25">
      <c r="A3440" s="10"/>
      <c r="B3440" s="11"/>
      <c r="C3440" s="11"/>
      <c r="D3440" s="11"/>
      <c r="E3440" s="11"/>
      <c r="F3440" s="11"/>
      <c r="G3440" s="11"/>
      <c r="H3440" s="11"/>
      <c r="I3440" s="11"/>
      <c r="J3440" s="11"/>
      <c r="K3440" s="11"/>
      <c r="L3440" s="11"/>
      <c r="M3440" s="11"/>
      <c r="N3440" s="11"/>
      <c r="O3440" s="11"/>
      <c r="P3440" s="11"/>
      <c r="Q3440" s="11"/>
      <c r="R3440" s="11"/>
      <c r="S3440" s="11"/>
    </row>
    <row r="3441" spans="1:19" s="9" customFormat="1" x14ac:dyDescent="0.25">
      <c r="A3441" s="10"/>
      <c r="B3441" s="11"/>
      <c r="C3441" s="11"/>
      <c r="D3441" s="11"/>
      <c r="E3441" s="11"/>
      <c r="F3441" s="11"/>
      <c r="G3441" s="11"/>
      <c r="H3441" s="11"/>
      <c r="I3441" s="11"/>
      <c r="J3441" s="11"/>
      <c r="K3441" s="11"/>
      <c r="L3441" s="11"/>
      <c r="M3441" s="11"/>
      <c r="N3441" s="11"/>
      <c r="O3441" s="11"/>
      <c r="P3441" s="11"/>
      <c r="Q3441" s="11"/>
      <c r="R3441" s="11"/>
      <c r="S3441" s="11"/>
    </row>
    <row r="3442" spans="1:19" s="9" customFormat="1" x14ac:dyDescent="0.25">
      <c r="A3442" s="10"/>
      <c r="B3442" s="11"/>
      <c r="C3442" s="11"/>
      <c r="D3442" s="11"/>
      <c r="E3442" s="11"/>
      <c r="F3442" s="11"/>
      <c r="G3442" s="11"/>
      <c r="H3442" s="11"/>
      <c r="I3442" s="11"/>
      <c r="J3442" s="11"/>
      <c r="K3442" s="11"/>
      <c r="L3442" s="11"/>
      <c r="M3442" s="11"/>
      <c r="N3442" s="11"/>
      <c r="O3442" s="11"/>
      <c r="P3442" s="11"/>
      <c r="Q3442" s="11"/>
      <c r="R3442" s="11"/>
      <c r="S3442" s="11"/>
    </row>
    <row r="3443" spans="1:19" s="9" customFormat="1" x14ac:dyDescent="0.25">
      <c r="A3443" s="10"/>
      <c r="B3443" s="11"/>
      <c r="C3443" s="11"/>
      <c r="D3443" s="11"/>
      <c r="E3443" s="11"/>
      <c r="F3443" s="11"/>
      <c r="G3443" s="11"/>
      <c r="H3443" s="11"/>
      <c r="I3443" s="11"/>
      <c r="J3443" s="11"/>
      <c r="K3443" s="11"/>
      <c r="L3443" s="11"/>
      <c r="M3443" s="11"/>
      <c r="N3443" s="11"/>
      <c r="O3443" s="11"/>
      <c r="P3443" s="11"/>
      <c r="Q3443" s="11"/>
      <c r="R3443" s="11"/>
      <c r="S3443" s="11"/>
    </row>
    <row r="3444" spans="1:19" s="9" customFormat="1" x14ac:dyDescent="0.25">
      <c r="A3444" s="10"/>
      <c r="B3444" s="11"/>
      <c r="C3444" s="11"/>
      <c r="D3444" s="11"/>
      <c r="E3444" s="11"/>
      <c r="F3444" s="11"/>
      <c r="G3444" s="11"/>
      <c r="H3444" s="11"/>
      <c r="I3444" s="11"/>
      <c r="J3444" s="11"/>
      <c r="K3444" s="11"/>
      <c r="L3444" s="11"/>
      <c r="M3444" s="11"/>
      <c r="N3444" s="11"/>
      <c r="O3444" s="11"/>
      <c r="P3444" s="11"/>
      <c r="Q3444" s="11"/>
      <c r="R3444" s="11"/>
      <c r="S3444" s="11"/>
    </row>
    <row r="3445" spans="1:19" s="9" customFormat="1" x14ac:dyDescent="0.25">
      <c r="A3445" s="10"/>
      <c r="B3445" s="11"/>
      <c r="C3445" s="11"/>
      <c r="D3445" s="11"/>
      <c r="E3445" s="11"/>
      <c r="F3445" s="11"/>
      <c r="G3445" s="11"/>
      <c r="H3445" s="11"/>
      <c r="I3445" s="11"/>
      <c r="J3445" s="11"/>
      <c r="K3445" s="11"/>
      <c r="L3445" s="11"/>
      <c r="M3445" s="11"/>
      <c r="N3445" s="11"/>
      <c r="O3445" s="11"/>
      <c r="P3445" s="11"/>
      <c r="Q3445" s="11"/>
      <c r="R3445" s="11"/>
      <c r="S3445" s="11"/>
    </row>
    <row r="3446" spans="1:19" s="9" customFormat="1" x14ac:dyDescent="0.25">
      <c r="A3446" s="10"/>
      <c r="B3446" s="11"/>
      <c r="C3446" s="11"/>
      <c r="D3446" s="11"/>
      <c r="E3446" s="11"/>
      <c r="F3446" s="11"/>
      <c r="G3446" s="11"/>
      <c r="H3446" s="11"/>
      <c r="I3446" s="11"/>
      <c r="J3446" s="11"/>
      <c r="K3446" s="11"/>
      <c r="L3446" s="11"/>
      <c r="M3446" s="11"/>
      <c r="N3446" s="11"/>
      <c r="O3446" s="11"/>
      <c r="P3446" s="11"/>
      <c r="Q3446" s="11"/>
      <c r="R3446" s="11"/>
      <c r="S3446" s="11"/>
    </row>
    <row r="3447" spans="1:19" s="9" customFormat="1" x14ac:dyDescent="0.25">
      <c r="A3447" s="10"/>
      <c r="B3447" s="11"/>
      <c r="C3447" s="11"/>
      <c r="D3447" s="11"/>
      <c r="E3447" s="11"/>
      <c r="F3447" s="11"/>
      <c r="G3447" s="11"/>
      <c r="H3447" s="11"/>
      <c r="I3447" s="11"/>
      <c r="J3447" s="11"/>
      <c r="K3447" s="11"/>
      <c r="L3447" s="11"/>
      <c r="M3447" s="11"/>
      <c r="N3447" s="11"/>
      <c r="O3447" s="11"/>
      <c r="P3447" s="11"/>
      <c r="Q3447" s="11"/>
      <c r="R3447" s="11"/>
      <c r="S3447" s="11"/>
    </row>
    <row r="3448" spans="1:19" s="9" customFormat="1" x14ac:dyDescent="0.25">
      <c r="A3448" s="10"/>
      <c r="B3448" s="11"/>
      <c r="C3448" s="11"/>
      <c r="D3448" s="11"/>
      <c r="E3448" s="11"/>
      <c r="F3448" s="11"/>
      <c r="G3448" s="11"/>
      <c r="H3448" s="11"/>
      <c r="I3448" s="11"/>
      <c r="J3448" s="11"/>
      <c r="K3448" s="11"/>
      <c r="L3448" s="11"/>
      <c r="M3448" s="11"/>
      <c r="N3448" s="11"/>
      <c r="O3448" s="11"/>
      <c r="P3448" s="11"/>
      <c r="Q3448" s="11"/>
      <c r="R3448" s="11"/>
      <c r="S3448" s="11"/>
    </row>
    <row r="3449" spans="1:19" s="9" customFormat="1" x14ac:dyDescent="0.25">
      <c r="A3449" s="10"/>
      <c r="B3449" s="11"/>
      <c r="C3449" s="11"/>
      <c r="D3449" s="11"/>
      <c r="E3449" s="11"/>
      <c r="F3449" s="11"/>
      <c r="G3449" s="11"/>
      <c r="H3449" s="11"/>
      <c r="I3449" s="11"/>
      <c r="J3449" s="11"/>
      <c r="K3449" s="11"/>
      <c r="L3449" s="11"/>
      <c r="M3449" s="11"/>
      <c r="N3449" s="11"/>
      <c r="O3449" s="11"/>
      <c r="P3449" s="11"/>
      <c r="Q3449" s="11"/>
      <c r="R3449" s="11"/>
      <c r="S3449" s="11"/>
    </row>
    <row r="3450" spans="1:19" s="9" customFormat="1" x14ac:dyDescent="0.25">
      <c r="A3450" s="10"/>
      <c r="B3450" s="11"/>
      <c r="C3450" s="11"/>
      <c r="D3450" s="11"/>
      <c r="E3450" s="11"/>
      <c r="F3450" s="11"/>
      <c r="G3450" s="11"/>
      <c r="H3450" s="11"/>
      <c r="I3450" s="11"/>
      <c r="J3450" s="11"/>
      <c r="K3450" s="11"/>
      <c r="L3450" s="11"/>
      <c r="M3450" s="11"/>
      <c r="N3450" s="11"/>
      <c r="O3450" s="11"/>
      <c r="P3450" s="11"/>
      <c r="Q3450" s="11"/>
      <c r="R3450" s="11"/>
      <c r="S3450" s="11"/>
    </row>
    <row r="3451" spans="1:19" s="9" customFormat="1" x14ac:dyDescent="0.25">
      <c r="A3451" s="10"/>
      <c r="B3451" s="11"/>
      <c r="C3451" s="11"/>
      <c r="D3451" s="11"/>
      <c r="E3451" s="11"/>
      <c r="F3451" s="11"/>
      <c r="G3451" s="11"/>
      <c r="H3451" s="11"/>
      <c r="I3451" s="11"/>
      <c r="J3451" s="11"/>
      <c r="K3451" s="11"/>
      <c r="L3451" s="11"/>
      <c r="M3451" s="11"/>
      <c r="N3451" s="11"/>
      <c r="O3451" s="11"/>
      <c r="P3451" s="11"/>
      <c r="Q3451" s="11"/>
      <c r="R3451" s="11"/>
      <c r="S3451" s="11"/>
    </row>
    <row r="3452" spans="1:19" s="9" customFormat="1" x14ac:dyDescent="0.25">
      <c r="A3452" s="10"/>
      <c r="B3452" s="11"/>
      <c r="C3452" s="11"/>
      <c r="D3452" s="11"/>
      <c r="E3452" s="11"/>
      <c r="F3452" s="11"/>
      <c r="G3452" s="11"/>
      <c r="H3452" s="11"/>
      <c r="I3452" s="11"/>
      <c r="J3452" s="11"/>
      <c r="K3452" s="11"/>
      <c r="L3452" s="11"/>
      <c r="M3452" s="11"/>
      <c r="N3452" s="11"/>
      <c r="O3452" s="11"/>
      <c r="P3452" s="11"/>
      <c r="Q3452" s="11"/>
      <c r="R3452" s="11"/>
      <c r="S3452" s="11"/>
    </row>
    <row r="3453" spans="1:19" s="9" customFormat="1" x14ac:dyDescent="0.25">
      <c r="A3453" s="10"/>
      <c r="B3453" s="11"/>
      <c r="C3453" s="11"/>
      <c r="D3453" s="11"/>
      <c r="E3453" s="11"/>
      <c r="F3453" s="11"/>
      <c r="G3453" s="11"/>
      <c r="H3453" s="11"/>
      <c r="I3453" s="11"/>
      <c r="J3453" s="11"/>
      <c r="K3453" s="11"/>
      <c r="L3453" s="11"/>
      <c r="M3453" s="11"/>
      <c r="N3453" s="11"/>
      <c r="O3453" s="11"/>
      <c r="P3453" s="11"/>
      <c r="Q3453" s="11"/>
      <c r="R3453" s="11"/>
      <c r="S3453" s="11"/>
    </row>
    <row r="3454" spans="1:19" s="9" customFormat="1" x14ac:dyDescent="0.25">
      <c r="A3454" s="10"/>
      <c r="B3454" s="11"/>
      <c r="C3454" s="11"/>
      <c r="D3454" s="11"/>
      <c r="E3454" s="11"/>
      <c r="F3454" s="11"/>
      <c r="G3454" s="11"/>
      <c r="H3454" s="11"/>
      <c r="I3454" s="11"/>
      <c r="J3454" s="11"/>
      <c r="K3454" s="11"/>
      <c r="L3454" s="11"/>
      <c r="M3454" s="11"/>
      <c r="N3454" s="11"/>
      <c r="O3454" s="11"/>
      <c r="P3454" s="11"/>
      <c r="Q3454" s="11"/>
      <c r="R3454" s="11"/>
      <c r="S3454" s="11"/>
    </row>
    <row r="3455" spans="1:19" s="9" customFormat="1" x14ac:dyDescent="0.25">
      <c r="A3455" s="10"/>
      <c r="B3455" s="11"/>
      <c r="C3455" s="11"/>
      <c r="D3455" s="11"/>
      <c r="E3455" s="11"/>
      <c r="F3455" s="11"/>
      <c r="G3455" s="11"/>
      <c r="H3455" s="11"/>
      <c r="I3455" s="11"/>
      <c r="J3455" s="11"/>
      <c r="K3455" s="11"/>
      <c r="L3455" s="11"/>
      <c r="M3455" s="11"/>
      <c r="N3455" s="11"/>
      <c r="O3455" s="11"/>
      <c r="P3455" s="11"/>
      <c r="Q3455" s="11"/>
      <c r="R3455" s="11"/>
      <c r="S3455" s="11"/>
    </row>
    <row r="3456" spans="1:19" s="9" customFormat="1" x14ac:dyDescent="0.25">
      <c r="A3456" s="10"/>
      <c r="B3456" s="11"/>
      <c r="C3456" s="11"/>
      <c r="D3456" s="11"/>
      <c r="E3456" s="11"/>
      <c r="F3456" s="11"/>
      <c r="G3456" s="11"/>
      <c r="H3456" s="11"/>
      <c r="I3456" s="11"/>
      <c r="J3456" s="11"/>
      <c r="K3456" s="11"/>
      <c r="L3456" s="11"/>
      <c r="M3456" s="11"/>
      <c r="N3456" s="11"/>
      <c r="O3456" s="11"/>
      <c r="P3456" s="11"/>
      <c r="Q3456" s="11"/>
      <c r="R3456" s="11"/>
      <c r="S3456" s="11"/>
    </row>
    <row r="3457" spans="1:19" s="9" customFormat="1" x14ac:dyDescent="0.25">
      <c r="A3457" s="10"/>
      <c r="B3457" s="11"/>
      <c r="C3457" s="11"/>
      <c r="D3457" s="11"/>
      <c r="E3457" s="11"/>
      <c r="F3457" s="11"/>
      <c r="G3457" s="11"/>
      <c r="H3457" s="11"/>
      <c r="I3457" s="11"/>
      <c r="J3457" s="11"/>
      <c r="K3457" s="11"/>
      <c r="L3457" s="11"/>
      <c r="M3457" s="11"/>
      <c r="N3457" s="11"/>
      <c r="O3457" s="11"/>
      <c r="P3457" s="11"/>
      <c r="Q3457" s="11"/>
      <c r="R3457" s="11"/>
      <c r="S3457" s="11"/>
    </row>
    <row r="3458" spans="1:19" s="9" customFormat="1" x14ac:dyDescent="0.25">
      <c r="A3458" s="10"/>
      <c r="B3458" s="11"/>
      <c r="C3458" s="11"/>
      <c r="D3458" s="11"/>
      <c r="E3458" s="11"/>
      <c r="F3458" s="11"/>
      <c r="G3458" s="11"/>
      <c r="H3458" s="11"/>
      <c r="I3458" s="11"/>
      <c r="J3458" s="11"/>
      <c r="K3458" s="11"/>
      <c r="L3458" s="11"/>
      <c r="M3458" s="11"/>
      <c r="N3458" s="11"/>
      <c r="O3458" s="11"/>
      <c r="P3458" s="11"/>
      <c r="Q3458" s="11"/>
      <c r="R3458" s="11"/>
      <c r="S3458" s="11"/>
    </row>
    <row r="3459" spans="1:19" s="9" customFormat="1" x14ac:dyDescent="0.25">
      <c r="A3459" s="10"/>
      <c r="B3459" s="11"/>
      <c r="C3459" s="11"/>
      <c r="D3459" s="11"/>
      <c r="E3459" s="11"/>
      <c r="F3459" s="11"/>
      <c r="G3459" s="11"/>
      <c r="H3459" s="11"/>
      <c r="I3459" s="11"/>
      <c r="J3459" s="11"/>
      <c r="K3459" s="11"/>
      <c r="L3459" s="11"/>
      <c r="M3459" s="11"/>
      <c r="N3459" s="11"/>
      <c r="O3459" s="11"/>
      <c r="P3459" s="11"/>
      <c r="Q3459" s="11"/>
      <c r="R3459" s="11"/>
      <c r="S3459" s="11"/>
    </row>
    <row r="3460" spans="1:19" s="9" customFormat="1" x14ac:dyDescent="0.25">
      <c r="A3460" s="10"/>
      <c r="B3460" s="11"/>
      <c r="C3460" s="11"/>
      <c r="D3460" s="11"/>
      <c r="E3460" s="11"/>
      <c r="F3460" s="11"/>
      <c r="G3460" s="11"/>
      <c r="H3460" s="11"/>
      <c r="I3460" s="11"/>
      <c r="J3460" s="11"/>
      <c r="K3460" s="11"/>
      <c r="L3460" s="11"/>
      <c r="M3460" s="11"/>
      <c r="N3460" s="11"/>
      <c r="O3460" s="11"/>
      <c r="P3460" s="11"/>
      <c r="Q3460" s="11"/>
      <c r="R3460" s="11"/>
      <c r="S3460" s="11"/>
    </row>
    <row r="3461" spans="1:19" s="9" customFormat="1" x14ac:dyDescent="0.25">
      <c r="A3461" s="10"/>
      <c r="B3461" s="11"/>
      <c r="C3461" s="11"/>
      <c r="D3461" s="11"/>
      <c r="E3461" s="11"/>
      <c r="F3461" s="11"/>
      <c r="G3461" s="11"/>
      <c r="H3461" s="11"/>
      <c r="I3461" s="11"/>
      <c r="J3461" s="11"/>
      <c r="K3461" s="11"/>
      <c r="L3461" s="11"/>
      <c r="M3461" s="11"/>
      <c r="N3461" s="11"/>
      <c r="O3461" s="11"/>
      <c r="P3461" s="11"/>
      <c r="Q3461" s="11"/>
      <c r="R3461" s="11"/>
      <c r="S3461" s="11"/>
    </row>
    <row r="3462" spans="1:19" s="9" customFormat="1" x14ac:dyDescent="0.25">
      <c r="A3462" s="10"/>
      <c r="B3462" s="11"/>
      <c r="C3462" s="11"/>
      <c r="D3462" s="11"/>
      <c r="E3462" s="11"/>
      <c r="F3462" s="11"/>
      <c r="G3462" s="11"/>
      <c r="H3462" s="11"/>
      <c r="I3462" s="11"/>
      <c r="J3462" s="11"/>
      <c r="K3462" s="11"/>
      <c r="L3462" s="11"/>
      <c r="M3462" s="11"/>
      <c r="N3462" s="11"/>
      <c r="O3462" s="11"/>
      <c r="P3462" s="11"/>
      <c r="Q3462" s="11"/>
      <c r="R3462" s="11"/>
      <c r="S3462" s="11"/>
    </row>
    <row r="3463" spans="1:19" s="9" customFormat="1" x14ac:dyDescent="0.25">
      <c r="A3463" s="10"/>
      <c r="B3463" s="11"/>
      <c r="C3463" s="11"/>
      <c r="D3463" s="11"/>
      <c r="E3463" s="11"/>
      <c r="F3463" s="11"/>
      <c r="G3463" s="11"/>
      <c r="H3463" s="11"/>
      <c r="I3463" s="11"/>
      <c r="J3463" s="11"/>
      <c r="K3463" s="11"/>
      <c r="L3463" s="11"/>
      <c r="M3463" s="11"/>
      <c r="N3463" s="11"/>
      <c r="O3463" s="11"/>
      <c r="P3463" s="11"/>
      <c r="Q3463" s="11"/>
      <c r="R3463" s="11"/>
      <c r="S3463" s="11"/>
    </row>
    <row r="3464" spans="1:19" s="9" customFormat="1" x14ac:dyDescent="0.25">
      <c r="A3464" s="10"/>
      <c r="B3464" s="11"/>
      <c r="C3464" s="11"/>
      <c r="D3464" s="11"/>
      <c r="E3464" s="11"/>
      <c r="F3464" s="11"/>
      <c r="G3464" s="11"/>
      <c r="H3464" s="11"/>
      <c r="I3464" s="11"/>
      <c r="J3464" s="11"/>
      <c r="K3464" s="11"/>
      <c r="L3464" s="11"/>
      <c r="M3464" s="11"/>
      <c r="N3464" s="11"/>
      <c r="O3464" s="11"/>
      <c r="P3464" s="11"/>
      <c r="Q3464" s="11"/>
      <c r="R3464" s="11"/>
      <c r="S3464" s="11"/>
    </row>
    <row r="3465" spans="1:19" s="9" customFormat="1" x14ac:dyDescent="0.25">
      <c r="A3465" s="10"/>
      <c r="B3465" s="11"/>
      <c r="C3465" s="11"/>
      <c r="D3465" s="11"/>
      <c r="E3465" s="11"/>
      <c r="F3465" s="11"/>
      <c r="G3465" s="11"/>
      <c r="H3465" s="11"/>
      <c r="I3465" s="11"/>
      <c r="J3465" s="11"/>
      <c r="K3465" s="11"/>
      <c r="L3465" s="11"/>
      <c r="M3465" s="11"/>
      <c r="N3465" s="11"/>
      <c r="O3465" s="11"/>
      <c r="P3465" s="11"/>
      <c r="Q3465" s="11"/>
      <c r="R3465" s="11"/>
      <c r="S3465" s="11"/>
    </row>
    <row r="3466" spans="1:19" s="9" customFormat="1" x14ac:dyDescent="0.25">
      <c r="A3466" s="10"/>
      <c r="B3466" s="11"/>
      <c r="C3466" s="11"/>
      <c r="D3466" s="11"/>
      <c r="E3466" s="11"/>
      <c r="F3466" s="11"/>
      <c r="G3466" s="11"/>
      <c r="H3466" s="11"/>
      <c r="I3466" s="11"/>
      <c r="J3466" s="11"/>
      <c r="K3466" s="11"/>
      <c r="L3466" s="11"/>
      <c r="M3466" s="11"/>
      <c r="N3466" s="11"/>
      <c r="O3466" s="11"/>
      <c r="P3466" s="11"/>
      <c r="Q3466" s="11"/>
      <c r="R3466" s="11"/>
      <c r="S3466" s="11"/>
    </row>
    <row r="3467" spans="1:19" s="9" customFormat="1" x14ac:dyDescent="0.25">
      <c r="A3467" s="10"/>
      <c r="B3467" s="11"/>
      <c r="C3467" s="11"/>
      <c r="D3467" s="11"/>
      <c r="E3467" s="11"/>
      <c r="F3467" s="11"/>
      <c r="G3467" s="11"/>
      <c r="H3467" s="11"/>
      <c r="I3467" s="11"/>
      <c r="J3467" s="11"/>
      <c r="K3467" s="11"/>
      <c r="L3467" s="11"/>
      <c r="M3467" s="11"/>
      <c r="N3467" s="11"/>
      <c r="O3467" s="11"/>
      <c r="P3467" s="11"/>
      <c r="Q3467" s="11"/>
      <c r="R3467" s="11"/>
      <c r="S3467" s="11"/>
    </row>
    <row r="3468" spans="1:19" s="9" customFormat="1" x14ac:dyDescent="0.25">
      <c r="A3468" s="10"/>
      <c r="B3468" s="11"/>
      <c r="C3468" s="11"/>
      <c r="D3468" s="11"/>
      <c r="E3468" s="11"/>
      <c r="F3468" s="11"/>
      <c r="G3468" s="11"/>
      <c r="H3468" s="11"/>
      <c r="I3468" s="11"/>
      <c r="J3468" s="11"/>
      <c r="K3468" s="11"/>
      <c r="L3468" s="11"/>
      <c r="M3468" s="11"/>
      <c r="N3468" s="11"/>
      <c r="O3468" s="11"/>
      <c r="P3468" s="11"/>
      <c r="Q3468" s="11"/>
      <c r="R3468" s="11"/>
      <c r="S3468" s="11"/>
    </row>
    <row r="3469" spans="1:19" s="9" customFormat="1" x14ac:dyDescent="0.25">
      <c r="A3469" s="10"/>
      <c r="B3469" s="11"/>
      <c r="C3469" s="11"/>
      <c r="D3469" s="11"/>
      <c r="E3469" s="11"/>
      <c r="F3469" s="11"/>
      <c r="G3469" s="11"/>
      <c r="H3469" s="11"/>
      <c r="I3469" s="11"/>
      <c r="J3469" s="11"/>
      <c r="K3469" s="11"/>
      <c r="L3469" s="11"/>
      <c r="M3469" s="11"/>
      <c r="N3469" s="11"/>
      <c r="O3469" s="11"/>
      <c r="P3469" s="11"/>
      <c r="Q3469" s="11"/>
      <c r="R3469" s="11"/>
      <c r="S3469" s="11"/>
    </row>
    <row r="3470" spans="1:19" s="9" customFormat="1" x14ac:dyDescent="0.25">
      <c r="A3470" s="10"/>
      <c r="B3470" s="11"/>
      <c r="C3470" s="11"/>
      <c r="D3470" s="11"/>
      <c r="E3470" s="11"/>
      <c r="F3470" s="11"/>
      <c r="G3470" s="11"/>
      <c r="H3470" s="11"/>
      <c r="I3470" s="11"/>
      <c r="J3470" s="11"/>
      <c r="K3470" s="11"/>
      <c r="L3470" s="11"/>
      <c r="M3470" s="11"/>
      <c r="N3470" s="11"/>
      <c r="O3470" s="11"/>
      <c r="P3470" s="11"/>
      <c r="Q3470" s="11"/>
      <c r="R3470" s="11"/>
      <c r="S3470" s="11"/>
    </row>
    <row r="3471" spans="1:19" s="9" customFormat="1" x14ac:dyDescent="0.25">
      <c r="A3471" s="10"/>
      <c r="B3471" s="11"/>
      <c r="C3471" s="11"/>
      <c r="D3471" s="11"/>
      <c r="E3471" s="11"/>
      <c r="F3471" s="11"/>
      <c r="G3471" s="11"/>
      <c r="H3471" s="11"/>
      <c r="I3471" s="11"/>
      <c r="J3471" s="11"/>
      <c r="K3471" s="11"/>
      <c r="L3471" s="11"/>
      <c r="M3471" s="11"/>
      <c r="N3471" s="11"/>
      <c r="O3471" s="11"/>
      <c r="P3471" s="11"/>
      <c r="Q3471" s="11"/>
      <c r="R3471" s="11"/>
      <c r="S3471" s="11"/>
    </row>
    <row r="3472" spans="1:19" s="9" customFormat="1" x14ac:dyDescent="0.25">
      <c r="A3472" s="10"/>
      <c r="B3472" s="11"/>
      <c r="C3472" s="11"/>
      <c r="D3472" s="11"/>
      <c r="E3472" s="11"/>
      <c r="F3472" s="11"/>
      <c r="G3472" s="11"/>
      <c r="H3472" s="11"/>
      <c r="I3472" s="11"/>
      <c r="J3472" s="11"/>
      <c r="K3472" s="11"/>
      <c r="L3472" s="11"/>
      <c r="M3472" s="11"/>
      <c r="N3472" s="11"/>
      <c r="O3472" s="11"/>
      <c r="P3472" s="11"/>
      <c r="Q3472" s="11"/>
      <c r="R3472" s="11"/>
      <c r="S3472" s="11"/>
    </row>
    <row r="3473" spans="1:19" s="9" customFormat="1" x14ac:dyDescent="0.25">
      <c r="A3473" s="10"/>
      <c r="B3473" s="11"/>
      <c r="C3473" s="11"/>
      <c r="D3473" s="11"/>
      <c r="E3473" s="11"/>
      <c r="F3473" s="11"/>
      <c r="G3473" s="11"/>
      <c r="H3473" s="11"/>
      <c r="I3473" s="11"/>
      <c r="J3473" s="11"/>
      <c r="K3473" s="11"/>
      <c r="L3473" s="11"/>
      <c r="M3473" s="11"/>
      <c r="N3473" s="11"/>
      <c r="O3473" s="11"/>
      <c r="P3473" s="11"/>
      <c r="Q3473" s="11"/>
      <c r="R3473" s="11"/>
      <c r="S3473" s="11"/>
    </row>
    <row r="3474" spans="1:19" s="9" customFormat="1" x14ac:dyDescent="0.25">
      <c r="A3474" s="10"/>
      <c r="B3474" s="11"/>
      <c r="C3474" s="11"/>
      <c r="D3474" s="11"/>
      <c r="E3474" s="11"/>
      <c r="F3474" s="11"/>
      <c r="G3474" s="11"/>
      <c r="H3474" s="11"/>
      <c r="I3474" s="11"/>
      <c r="J3474" s="11"/>
      <c r="K3474" s="11"/>
      <c r="L3474" s="11"/>
      <c r="M3474" s="11"/>
      <c r="N3474" s="11"/>
      <c r="O3474" s="11"/>
      <c r="P3474" s="11"/>
      <c r="Q3474" s="11"/>
      <c r="R3474" s="11"/>
      <c r="S3474" s="11"/>
    </row>
    <row r="3475" spans="1:19" s="9" customFormat="1" x14ac:dyDescent="0.25">
      <c r="A3475" s="10"/>
      <c r="B3475" s="11"/>
      <c r="C3475" s="11"/>
      <c r="D3475" s="11"/>
      <c r="E3475" s="11"/>
      <c r="F3475" s="11"/>
      <c r="G3475" s="11"/>
      <c r="H3475" s="11"/>
      <c r="I3475" s="11"/>
      <c r="J3475" s="11"/>
      <c r="K3475" s="11"/>
      <c r="L3475" s="11"/>
      <c r="M3475" s="11"/>
      <c r="N3475" s="11"/>
      <c r="O3475" s="11"/>
      <c r="P3475" s="11"/>
      <c r="Q3475" s="11"/>
      <c r="R3475" s="11"/>
      <c r="S3475" s="11"/>
    </row>
    <row r="3476" spans="1:19" s="9" customFormat="1" x14ac:dyDescent="0.25">
      <c r="A3476" s="10"/>
      <c r="B3476" s="11"/>
      <c r="C3476" s="11"/>
      <c r="D3476" s="11"/>
      <c r="E3476" s="11"/>
      <c r="F3476" s="11"/>
      <c r="G3476" s="11"/>
      <c r="H3476" s="11"/>
      <c r="I3476" s="11"/>
      <c r="J3476" s="11"/>
      <c r="K3476" s="11"/>
      <c r="L3476" s="11"/>
      <c r="M3476" s="11"/>
      <c r="N3476" s="11"/>
      <c r="O3476" s="11"/>
      <c r="P3476" s="11"/>
      <c r="Q3476" s="11"/>
      <c r="R3476" s="11"/>
      <c r="S3476" s="11"/>
    </row>
    <row r="3477" spans="1:19" s="9" customFormat="1" x14ac:dyDescent="0.25">
      <c r="A3477" s="10"/>
      <c r="B3477" s="11"/>
      <c r="C3477" s="11"/>
      <c r="D3477" s="11"/>
      <c r="E3477" s="11"/>
      <c r="F3477" s="11"/>
      <c r="G3477" s="11"/>
      <c r="H3477" s="11"/>
      <c r="I3477" s="11"/>
      <c r="J3477" s="11"/>
      <c r="K3477" s="11"/>
      <c r="L3477" s="11"/>
      <c r="M3477" s="11"/>
      <c r="N3477" s="11"/>
      <c r="O3477" s="11"/>
      <c r="P3477" s="11"/>
      <c r="Q3477" s="11"/>
      <c r="R3477" s="11"/>
      <c r="S3477" s="11"/>
    </row>
    <row r="3478" spans="1:19" s="9" customFormat="1" x14ac:dyDescent="0.25">
      <c r="A3478" s="10"/>
      <c r="B3478" s="11"/>
      <c r="C3478" s="11"/>
      <c r="D3478" s="11"/>
      <c r="E3478" s="11"/>
      <c r="F3478" s="11"/>
      <c r="G3478" s="11"/>
      <c r="H3478" s="11"/>
      <c r="I3478" s="11"/>
      <c r="J3478" s="11"/>
      <c r="K3478" s="11"/>
      <c r="L3478" s="11"/>
      <c r="M3478" s="11"/>
      <c r="N3478" s="11"/>
      <c r="O3478" s="11"/>
      <c r="P3478" s="11"/>
      <c r="Q3478" s="11"/>
      <c r="R3478" s="11"/>
      <c r="S3478" s="11"/>
    </row>
    <row r="3479" spans="1:19" s="9" customFormat="1" x14ac:dyDescent="0.25">
      <c r="A3479" s="10"/>
      <c r="B3479" s="11"/>
      <c r="C3479" s="11"/>
      <c r="D3479" s="11"/>
      <c r="E3479" s="11"/>
      <c r="F3479" s="11"/>
      <c r="G3479" s="11"/>
      <c r="H3479" s="11"/>
      <c r="I3479" s="11"/>
      <c r="J3479" s="11"/>
      <c r="K3479" s="11"/>
      <c r="L3479" s="11"/>
      <c r="M3479" s="11"/>
      <c r="N3479" s="11"/>
      <c r="O3479" s="11"/>
      <c r="P3479" s="11"/>
      <c r="Q3479" s="11"/>
      <c r="R3479" s="11"/>
      <c r="S3479" s="11"/>
    </row>
    <row r="3480" spans="1:19" s="9" customFormat="1" x14ac:dyDescent="0.25">
      <c r="A3480" s="10"/>
      <c r="B3480" s="11"/>
      <c r="C3480" s="11"/>
      <c r="D3480" s="11"/>
      <c r="E3480" s="11"/>
      <c r="F3480" s="11"/>
      <c r="G3480" s="11"/>
      <c r="H3480" s="11"/>
      <c r="I3480" s="11"/>
      <c r="J3480" s="11"/>
      <c r="K3480" s="11"/>
      <c r="L3480" s="11"/>
      <c r="M3480" s="11"/>
      <c r="N3480" s="11"/>
      <c r="O3480" s="11"/>
      <c r="P3480" s="11"/>
      <c r="Q3480" s="11"/>
      <c r="R3480" s="11"/>
      <c r="S3480" s="11"/>
    </row>
    <row r="3481" spans="1:19" s="9" customFormat="1" x14ac:dyDescent="0.25">
      <c r="A3481" s="10"/>
      <c r="B3481" s="11"/>
      <c r="C3481" s="11"/>
      <c r="D3481" s="11"/>
      <c r="E3481" s="11"/>
      <c r="F3481" s="11"/>
      <c r="G3481" s="11"/>
      <c r="H3481" s="11"/>
      <c r="I3481" s="11"/>
      <c r="J3481" s="11"/>
      <c r="K3481" s="11"/>
      <c r="L3481" s="11"/>
      <c r="M3481" s="11"/>
      <c r="N3481" s="11"/>
      <c r="O3481" s="11"/>
      <c r="P3481" s="11"/>
      <c r="Q3481" s="11"/>
      <c r="R3481" s="11"/>
      <c r="S3481" s="11"/>
    </row>
    <row r="3482" spans="1:19" s="9" customFormat="1" x14ac:dyDescent="0.25">
      <c r="A3482" s="10"/>
      <c r="B3482" s="11"/>
      <c r="C3482" s="11"/>
      <c r="D3482" s="11"/>
      <c r="E3482" s="11"/>
      <c r="F3482" s="11"/>
      <c r="G3482" s="11"/>
      <c r="H3482" s="11"/>
      <c r="I3482" s="11"/>
      <c r="J3482" s="11"/>
      <c r="K3482" s="11"/>
      <c r="L3482" s="11"/>
      <c r="M3482" s="11"/>
      <c r="N3482" s="11"/>
      <c r="O3482" s="11"/>
      <c r="P3482" s="11"/>
      <c r="Q3482" s="11"/>
      <c r="R3482" s="11"/>
      <c r="S3482" s="11"/>
    </row>
    <row r="3483" spans="1:19" s="9" customFormat="1" x14ac:dyDescent="0.25">
      <c r="A3483" s="10"/>
      <c r="B3483" s="11"/>
      <c r="C3483" s="11"/>
      <c r="D3483" s="11"/>
      <c r="E3483" s="11"/>
      <c r="F3483" s="11"/>
      <c r="G3483" s="11"/>
      <c r="H3483" s="11"/>
      <c r="I3483" s="11"/>
      <c r="J3483" s="11"/>
      <c r="K3483" s="11"/>
      <c r="L3483" s="11"/>
      <c r="M3483" s="11"/>
      <c r="N3483" s="11"/>
      <c r="O3483" s="11"/>
      <c r="P3483" s="11"/>
      <c r="Q3483" s="11"/>
      <c r="R3483" s="11"/>
      <c r="S3483" s="11"/>
    </row>
    <row r="3484" spans="1:19" s="9" customFormat="1" x14ac:dyDescent="0.25">
      <c r="A3484" s="10"/>
      <c r="B3484" s="11"/>
      <c r="C3484" s="11"/>
      <c r="D3484" s="11"/>
      <c r="E3484" s="11"/>
      <c r="F3484" s="11"/>
      <c r="G3484" s="11"/>
      <c r="H3484" s="11"/>
      <c r="I3484" s="11"/>
      <c r="J3484" s="11"/>
      <c r="K3484" s="11"/>
      <c r="L3484" s="11"/>
      <c r="M3484" s="11"/>
      <c r="N3484" s="11"/>
      <c r="O3484" s="11"/>
      <c r="P3484" s="11"/>
      <c r="Q3484" s="11"/>
      <c r="R3484" s="11"/>
      <c r="S3484" s="11"/>
    </row>
    <row r="3485" spans="1:19" s="9" customFormat="1" x14ac:dyDescent="0.25">
      <c r="A3485" s="10"/>
      <c r="B3485" s="11"/>
      <c r="C3485" s="11"/>
      <c r="D3485" s="11"/>
      <c r="E3485" s="11"/>
      <c r="F3485" s="11"/>
      <c r="G3485" s="11"/>
      <c r="H3485" s="11"/>
      <c r="I3485" s="11"/>
      <c r="J3485" s="11"/>
      <c r="K3485" s="11"/>
      <c r="L3485" s="11"/>
      <c r="M3485" s="11"/>
      <c r="N3485" s="11"/>
      <c r="O3485" s="11"/>
      <c r="P3485" s="11"/>
      <c r="Q3485" s="11"/>
      <c r="R3485" s="11"/>
      <c r="S3485" s="11"/>
    </row>
    <row r="3486" spans="1:19" s="9" customFormat="1" x14ac:dyDescent="0.25">
      <c r="A3486" s="10"/>
      <c r="B3486" s="11"/>
      <c r="C3486" s="11"/>
      <c r="D3486" s="11"/>
      <c r="E3486" s="11"/>
      <c r="F3486" s="11"/>
      <c r="G3486" s="11"/>
      <c r="H3486" s="11"/>
      <c r="I3486" s="11"/>
      <c r="J3486" s="11"/>
      <c r="K3486" s="11"/>
      <c r="L3486" s="11"/>
      <c r="M3486" s="11"/>
      <c r="N3486" s="11"/>
      <c r="O3486" s="11"/>
      <c r="P3486" s="11"/>
      <c r="Q3486" s="11"/>
      <c r="R3486" s="11"/>
      <c r="S3486" s="11"/>
    </row>
    <row r="3487" spans="1:19" s="9" customFormat="1" x14ac:dyDescent="0.25">
      <c r="A3487" s="10"/>
      <c r="B3487" s="11"/>
      <c r="C3487" s="11"/>
      <c r="D3487" s="11"/>
      <c r="E3487" s="11"/>
      <c r="F3487" s="11"/>
      <c r="G3487" s="11"/>
      <c r="H3487" s="11"/>
      <c r="I3487" s="11"/>
      <c r="J3487" s="11"/>
      <c r="K3487" s="11"/>
      <c r="L3487" s="11"/>
      <c r="M3487" s="11"/>
      <c r="N3487" s="11"/>
      <c r="O3487" s="11"/>
      <c r="P3487" s="11"/>
      <c r="Q3487" s="11"/>
      <c r="R3487" s="11"/>
      <c r="S3487" s="11"/>
    </row>
    <row r="3488" spans="1:19" s="9" customFormat="1" x14ac:dyDescent="0.25">
      <c r="A3488" s="10"/>
      <c r="B3488" s="11"/>
      <c r="C3488" s="11"/>
      <c r="D3488" s="11"/>
      <c r="E3488" s="11"/>
      <c r="F3488" s="11"/>
      <c r="G3488" s="11"/>
      <c r="H3488" s="11"/>
      <c r="I3488" s="11"/>
      <c r="J3488" s="11"/>
      <c r="K3488" s="11"/>
      <c r="L3488" s="11"/>
      <c r="M3488" s="11"/>
      <c r="N3488" s="11"/>
      <c r="O3488" s="11"/>
      <c r="P3488" s="11"/>
      <c r="Q3488" s="11"/>
      <c r="R3488" s="11"/>
      <c r="S3488" s="11"/>
    </row>
    <row r="3489" spans="1:19" s="9" customFormat="1" x14ac:dyDescent="0.25">
      <c r="A3489" s="10"/>
      <c r="B3489" s="11"/>
      <c r="C3489" s="11"/>
      <c r="D3489" s="11"/>
      <c r="E3489" s="11"/>
      <c r="F3489" s="11"/>
      <c r="G3489" s="11"/>
      <c r="H3489" s="11"/>
      <c r="I3489" s="11"/>
      <c r="J3489" s="11"/>
      <c r="K3489" s="11"/>
      <c r="L3489" s="11"/>
      <c r="M3489" s="11"/>
      <c r="N3489" s="11"/>
      <c r="O3489" s="11"/>
      <c r="P3489" s="11"/>
      <c r="Q3489" s="11"/>
      <c r="R3489" s="11"/>
      <c r="S3489" s="11"/>
    </row>
    <row r="3490" spans="1:19" s="9" customFormat="1" x14ac:dyDescent="0.25">
      <c r="A3490" s="10"/>
      <c r="B3490" s="11"/>
      <c r="C3490" s="11"/>
      <c r="D3490" s="11"/>
      <c r="E3490" s="11"/>
      <c r="F3490" s="11"/>
      <c r="G3490" s="11"/>
      <c r="H3490" s="11"/>
      <c r="I3490" s="11"/>
      <c r="J3490" s="11"/>
      <c r="K3490" s="11"/>
      <c r="L3490" s="11"/>
      <c r="M3490" s="11"/>
      <c r="N3490" s="11"/>
      <c r="O3490" s="11"/>
      <c r="P3490" s="11"/>
      <c r="Q3490" s="11"/>
      <c r="R3490" s="11"/>
      <c r="S3490" s="11"/>
    </row>
    <row r="3491" spans="1:19" s="9" customFormat="1" x14ac:dyDescent="0.25">
      <c r="A3491" s="10"/>
      <c r="B3491" s="11"/>
      <c r="C3491" s="11"/>
      <c r="D3491" s="11"/>
      <c r="E3491" s="11"/>
      <c r="F3491" s="11"/>
      <c r="G3491" s="11"/>
      <c r="H3491" s="11"/>
      <c r="I3491" s="11"/>
      <c r="J3491" s="11"/>
      <c r="K3491" s="11"/>
      <c r="L3491" s="11"/>
      <c r="M3491" s="11"/>
      <c r="N3491" s="11"/>
      <c r="O3491" s="11"/>
      <c r="P3491" s="11"/>
      <c r="Q3491" s="11"/>
      <c r="R3491" s="11"/>
      <c r="S3491" s="11"/>
    </row>
    <row r="3492" spans="1:19" s="9" customFormat="1" x14ac:dyDescent="0.25">
      <c r="A3492" s="10"/>
      <c r="B3492" s="11"/>
      <c r="C3492" s="11"/>
      <c r="D3492" s="11"/>
      <c r="E3492" s="11"/>
      <c r="F3492" s="11"/>
      <c r="G3492" s="11"/>
      <c r="H3492" s="11"/>
      <c r="I3492" s="11"/>
      <c r="J3492" s="11"/>
      <c r="K3492" s="11"/>
      <c r="L3492" s="11"/>
      <c r="M3492" s="11"/>
      <c r="N3492" s="11"/>
      <c r="O3492" s="11"/>
      <c r="P3492" s="11"/>
      <c r="Q3492" s="11"/>
      <c r="R3492" s="11"/>
      <c r="S3492" s="11"/>
    </row>
    <row r="3493" spans="1:19" s="9" customFormat="1" x14ac:dyDescent="0.25">
      <c r="A3493" s="10"/>
      <c r="B3493" s="11"/>
      <c r="C3493" s="11"/>
      <c r="D3493" s="11"/>
      <c r="E3493" s="11"/>
      <c r="F3493" s="11"/>
      <c r="G3493" s="11"/>
      <c r="H3493" s="11"/>
      <c r="I3493" s="11"/>
      <c r="J3493" s="11"/>
      <c r="K3493" s="11"/>
      <c r="L3493" s="11"/>
      <c r="M3493" s="11"/>
      <c r="N3493" s="11"/>
      <c r="O3493" s="11"/>
      <c r="P3493" s="11"/>
      <c r="Q3493" s="11"/>
      <c r="R3493" s="11"/>
      <c r="S3493" s="11"/>
    </row>
    <row r="3494" spans="1:19" s="9" customFormat="1" x14ac:dyDescent="0.25">
      <c r="A3494" s="10"/>
      <c r="B3494" s="11"/>
      <c r="C3494" s="11"/>
      <c r="D3494" s="11"/>
      <c r="E3494" s="11"/>
      <c r="F3494" s="11"/>
      <c r="G3494" s="11"/>
      <c r="H3494" s="11"/>
      <c r="I3494" s="11"/>
      <c r="J3494" s="11"/>
      <c r="K3494" s="11"/>
      <c r="L3494" s="11"/>
      <c r="M3494" s="11"/>
      <c r="N3494" s="11"/>
      <c r="O3494" s="11"/>
      <c r="P3494" s="11"/>
      <c r="Q3494" s="11"/>
      <c r="R3494" s="11"/>
      <c r="S3494" s="11"/>
    </row>
    <row r="3495" spans="1:19" s="9" customFormat="1" x14ac:dyDescent="0.25">
      <c r="A3495" s="10"/>
      <c r="B3495" s="11"/>
      <c r="C3495" s="11"/>
      <c r="D3495" s="11"/>
      <c r="E3495" s="11"/>
      <c r="F3495" s="11"/>
      <c r="G3495" s="11"/>
      <c r="H3495" s="11"/>
      <c r="I3495" s="11"/>
      <c r="J3495" s="11"/>
      <c r="K3495" s="11"/>
      <c r="L3495" s="11"/>
      <c r="M3495" s="11"/>
      <c r="N3495" s="11"/>
      <c r="O3495" s="11"/>
      <c r="P3495" s="11"/>
      <c r="Q3495" s="11"/>
      <c r="R3495" s="11"/>
      <c r="S3495" s="11"/>
    </row>
    <row r="3496" spans="1:19" s="9" customFormat="1" x14ac:dyDescent="0.25">
      <c r="A3496" s="10"/>
      <c r="B3496" s="11"/>
      <c r="C3496" s="11"/>
      <c r="D3496" s="11"/>
      <c r="E3496" s="11"/>
      <c r="F3496" s="11"/>
      <c r="G3496" s="11"/>
      <c r="H3496" s="11"/>
      <c r="I3496" s="11"/>
      <c r="J3496" s="11"/>
      <c r="K3496" s="11"/>
      <c r="L3496" s="11"/>
      <c r="M3496" s="11"/>
      <c r="N3496" s="11"/>
      <c r="O3496" s="11"/>
      <c r="P3496" s="11"/>
      <c r="Q3496" s="11"/>
      <c r="R3496" s="11"/>
      <c r="S3496" s="11"/>
    </row>
    <row r="3497" spans="1:19" s="9" customFormat="1" x14ac:dyDescent="0.25">
      <c r="A3497" s="10"/>
      <c r="B3497" s="11"/>
      <c r="C3497" s="11"/>
      <c r="D3497" s="11"/>
      <c r="E3497" s="11"/>
      <c r="F3497" s="11"/>
      <c r="G3497" s="11"/>
      <c r="H3497" s="11"/>
      <c r="I3497" s="11"/>
      <c r="J3497" s="11"/>
      <c r="K3497" s="11"/>
      <c r="L3497" s="11"/>
      <c r="M3497" s="11"/>
      <c r="N3497" s="11"/>
      <c r="O3497" s="11"/>
      <c r="P3497" s="11"/>
      <c r="Q3497" s="11"/>
      <c r="R3497" s="11"/>
      <c r="S3497" s="11"/>
    </row>
    <row r="3498" spans="1:19" s="9" customFormat="1" x14ac:dyDescent="0.25">
      <c r="A3498" s="10"/>
      <c r="B3498" s="11"/>
      <c r="C3498" s="11"/>
      <c r="D3498" s="11"/>
      <c r="E3498" s="11"/>
      <c r="F3498" s="11"/>
      <c r="G3498" s="11"/>
      <c r="H3498" s="11"/>
      <c r="I3498" s="11"/>
      <c r="J3498" s="11"/>
      <c r="K3498" s="11"/>
      <c r="L3498" s="11"/>
      <c r="M3498" s="11"/>
      <c r="N3498" s="11"/>
      <c r="O3498" s="11"/>
      <c r="P3498" s="11"/>
      <c r="Q3498" s="11"/>
      <c r="R3498" s="11"/>
      <c r="S3498" s="11"/>
    </row>
    <row r="3499" spans="1:19" s="9" customFormat="1" x14ac:dyDescent="0.25">
      <c r="A3499" s="10"/>
      <c r="B3499" s="11"/>
      <c r="C3499" s="11"/>
      <c r="D3499" s="11"/>
      <c r="E3499" s="11"/>
      <c r="F3499" s="11"/>
      <c r="G3499" s="11"/>
      <c r="H3499" s="11"/>
      <c r="I3499" s="11"/>
      <c r="J3499" s="11"/>
      <c r="K3499" s="11"/>
      <c r="L3499" s="11"/>
      <c r="M3499" s="11"/>
      <c r="N3499" s="11"/>
      <c r="O3499" s="11"/>
      <c r="P3499" s="11"/>
      <c r="Q3499" s="11"/>
      <c r="R3499" s="11"/>
      <c r="S3499" s="11"/>
    </row>
    <row r="3500" spans="1:19" s="9" customFormat="1" x14ac:dyDescent="0.25">
      <c r="A3500" s="10"/>
      <c r="B3500" s="11"/>
      <c r="C3500" s="11"/>
      <c r="D3500" s="11"/>
      <c r="E3500" s="11"/>
      <c r="F3500" s="11"/>
      <c r="G3500" s="11"/>
      <c r="H3500" s="11"/>
      <c r="I3500" s="11"/>
      <c r="J3500" s="11"/>
      <c r="K3500" s="11"/>
      <c r="L3500" s="11"/>
      <c r="M3500" s="11"/>
      <c r="N3500" s="11"/>
      <c r="O3500" s="11"/>
      <c r="P3500" s="11"/>
      <c r="Q3500" s="11"/>
      <c r="R3500" s="11"/>
      <c r="S3500" s="11"/>
    </row>
    <row r="3501" spans="1:19" s="9" customFormat="1" x14ac:dyDescent="0.25">
      <c r="A3501" s="10"/>
      <c r="B3501" s="11"/>
      <c r="C3501" s="11"/>
      <c r="D3501" s="11"/>
      <c r="E3501" s="11"/>
      <c r="F3501" s="11"/>
      <c r="G3501" s="11"/>
      <c r="H3501" s="11"/>
      <c r="I3501" s="11"/>
      <c r="J3501" s="11"/>
      <c r="K3501" s="11"/>
      <c r="L3501" s="11"/>
      <c r="M3501" s="11"/>
      <c r="N3501" s="11"/>
      <c r="O3501" s="11"/>
      <c r="P3501" s="11"/>
      <c r="Q3501" s="11"/>
      <c r="R3501" s="11"/>
      <c r="S3501" s="11"/>
    </row>
    <row r="3502" spans="1:19" s="9" customFormat="1" x14ac:dyDescent="0.25">
      <c r="A3502" s="10"/>
      <c r="B3502" s="11"/>
      <c r="C3502" s="11"/>
      <c r="D3502" s="11"/>
      <c r="E3502" s="11"/>
      <c r="F3502" s="11"/>
      <c r="G3502" s="11"/>
      <c r="H3502" s="11"/>
      <c r="I3502" s="11"/>
      <c r="J3502" s="11"/>
      <c r="K3502" s="11"/>
      <c r="L3502" s="11"/>
      <c r="M3502" s="11"/>
      <c r="N3502" s="11"/>
      <c r="O3502" s="11"/>
      <c r="P3502" s="11"/>
      <c r="Q3502" s="11"/>
      <c r="R3502" s="11"/>
      <c r="S3502" s="11"/>
    </row>
    <row r="3503" spans="1:19" s="9" customFormat="1" x14ac:dyDescent="0.25">
      <c r="A3503" s="10"/>
      <c r="B3503" s="11"/>
      <c r="C3503" s="11"/>
      <c r="D3503" s="11"/>
      <c r="E3503" s="11"/>
      <c r="F3503" s="11"/>
      <c r="G3503" s="11"/>
      <c r="H3503" s="11"/>
      <c r="I3503" s="11"/>
      <c r="J3503" s="11"/>
      <c r="K3503" s="11"/>
      <c r="L3503" s="11"/>
      <c r="M3503" s="11"/>
      <c r="N3503" s="11"/>
      <c r="O3503" s="11"/>
      <c r="P3503" s="11"/>
      <c r="Q3503" s="11"/>
      <c r="R3503" s="11"/>
      <c r="S3503" s="11"/>
    </row>
    <row r="3504" spans="1:19" s="9" customFormat="1" x14ac:dyDescent="0.25">
      <c r="A3504" s="10"/>
      <c r="B3504" s="11"/>
      <c r="C3504" s="11"/>
      <c r="D3504" s="11"/>
      <c r="E3504" s="11"/>
      <c r="F3504" s="11"/>
      <c r="G3504" s="11"/>
      <c r="H3504" s="11"/>
      <c r="I3504" s="11"/>
      <c r="J3504" s="11"/>
      <c r="K3504" s="11"/>
      <c r="L3504" s="11"/>
      <c r="M3504" s="11"/>
      <c r="N3504" s="11"/>
      <c r="O3504" s="11"/>
      <c r="P3504" s="11"/>
      <c r="Q3504" s="11"/>
      <c r="R3504" s="11"/>
      <c r="S3504" s="11"/>
    </row>
    <row r="3505" spans="1:19" s="9" customFormat="1" x14ac:dyDescent="0.25">
      <c r="A3505" s="10"/>
      <c r="B3505" s="11"/>
      <c r="C3505" s="11"/>
      <c r="D3505" s="11"/>
      <c r="E3505" s="11"/>
      <c r="F3505" s="11"/>
      <c r="G3505" s="11"/>
      <c r="H3505" s="11"/>
      <c r="I3505" s="11"/>
      <c r="J3505" s="11"/>
      <c r="K3505" s="11"/>
      <c r="L3505" s="11"/>
      <c r="M3505" s="11"/>
      <c r="N3505" s="11"/>
      <c r="O3505" s="11"/>
      <c r="P3505" s="11"/>
      <c r="Q3505" s="11"/>
      <c r="R3505" s="11"/>
      <c r="S3505" s="11"/>
    </row>
    <row r="3506" spans="1:19" s="9" customFormat="1" x14ac:dyDescent="0.25">
      <c r="A3506" s="10"/>
      <c r="B3506" s="11"/>
      <c r="C3506" s="11"/>
      <c r="D3506" s="11"/>
      <c r="E3506" s="11"/>
      <c r="F3506" s="11"/>
      <c r="G3506" s="11"/>
      <c r="H3506" s="11"/>
      <c r="I3506" s="11"/>
      <c r="J3506" s="11"/>
      <c r="K3506" s="11"/>
      <c r="L3506" s="11"/>
      <c r="M3506" s="11"/>
      <c r="N3506" s="11"/>
      <c r="O3506" s="11"/>
      <c r="P3506" s="11"/>
      <c r="Q3506" s="11"/>
      <c r="R3506" s="11"/>
      <c r="S3506" s="11"/>
    </row>
    <row r="3507" spans="1:19" s="9" customFormat="1" x14ac:dyDescent="0.25">
      <c r="A3507" s="10"/>
      <c r="B3507" s="11"/>
      <c r="C3507" s="11"/>
      <c r="D3507" s="11"/>
      <c r="E3507" s="11"/>
      <c r="F3507" s="11"/>
      <c r="G3507" s="11"/>
      <c r="H3507" s="11"/>
      <c r="I3507" s="11"/>
      <c r="J3507" s="11"/>
      <c r="K3507" s="11"/>
      <c r="L3507" s="11"/>
      <c r="M3507" s="11"/>
      <c r="N3507" s="11"/>
      <c r="O3507" s="11"/>
      <c r="P3507" s="11"/>
      <c r="Q3507" s="11"/>
      <c r="R3507" s="11"/>
      <c r="S3507" s="11"/>
    </row>
    <row r="3508" spans="1:19" s="9" customFormat="1" x14ac:dyDescent="0.25">
      <c r="A3508" s="10"/>
      <c r="B3508" s="11"/>
      <c r="C3508" s="11"/>
      <c r="D3508" s="11"/>
      <c r="E3508" s="11"/>
      <c r="F3508" s="11"/>
      <c r="G3508" s="11"/>
      <c r="H3508" s="11"/>
      <c r="I3508" s="11"/>
      <c r="J3508" s="11"/>
      <c r="K3508" s="11"/>
      <c r="L3508" s="11"/>
      <c r="M3508" s="11"/>
      <c r="N3508" s="11"/>
      <c r="O3508" s="11"/>
      <c r="P3508" s="11"/>
      <c r="Q3508" s="11"/>
      <c r="R3508" s="11"/>
      <c r="S3508" s="11"/>
    </row>
    <row r="3509" spans="1:19" s="9" customFormat="1" x14ac:dyDescent="0.25">
      <c r="A3509" s="10"/>
      <c r="B3509" s="11"/>
      <c r="C3509" s="11"/>
      <c r="D3509" s="11"/>
      <c r="E3509" s="11"/>
      <c r="F3509" s="11"/>
      <c r="G3509" s="11"/>
      <c r="H3509" s="11"/>
      <c r="I3509" s="11"/>
      <c r="J3509" s="11"/>
      <c r="K3509" s="11"/>
      <c r="L3509" s="11"/>
      <c r="M3509" s="11"/>
      <c r="N3509" s="11"/>
      <c r="O3509" s="11"/>
      <c r="P3509" s="11"/>
      <c r="Q3509" s="11"/>
      <c r="R3509" s="11"/>
      <c r="S3509" s="11"/>
    </row>
    <row r="3510" spans="1:19" s="9" customFormat="1" x14ac:dyDescent="0.25">
      <c r="A3510" s="10"/>
      <c r="B3510" s="11"/>
      <c r="C3510" s="11"/>
      <c r="D3510" s="11"/>
      <c r="E3510" s="11"/>
      <c r="F3510" s="11"/>
      <c r="G3510" s="11"/>
      <c r="H3510" s="11"/>
      <c r="I3510" s="11"/>
      <c r="J3510" s="11"/>
      <c r="K3510" s="11"/>
      <c r="L3510" s="11"/>
      <c r="M3510" s="11"/>
      <c r="N3510" s="11"/>
      <c r="O3510" s="11"/>
      <c r="P3510" s="11"/>
      <c r="Q3510" s="11"/>
      <c r="R3510" s="11"/>
      <c r="S3510" s="11"/>
    </row>
    <row r="3511" spans="1:19" s="9" customFormat="1" x14ac:dyDescent="0.25">
      <c r="A3511" s="10"/>
      <c r="B3511" s="11"/>
      <c r="C3511" s="11"/>
      <c r="D3511" s="11"/>
      <c r="E3511" s="11"/>
      <c r="F3511" s="11"/>
      <c r="G3511" s="11"/>
      <c r="H3511" s="11"/>
      <c r="I3511" s="11"/>
      <c r="J3511" s="11"/>
      <c r="K3511" s="11"/>
      <c r="L3511" s="11"/>
      <c r="M3511" s="11"/>
      <c r="N3511" s="11"/>
      <c r="O3511" s="11"/>
      <c r="P3511" s="11"/>
      <c r="Q3511" s="11"/>
      <c r="R3511" s="11"/>
      <c r="S3511" s="11"/>
    </row>
    <row r="3512" spans="1:19" s="9" customFormat="1" x14ac:dyDescent="0.25">
      <c r="A3512" s="10"/>
      <c r="B3512" s="11"/>
      <c r="C3512" s="11"/>
      <c r="D3512" s="11"/>
      <c r="E3512" s="11"/>
      <c r="F3512" s="11"/>
      <c r="G3512" s="11"/>
      <c r="H3512" s="11"/>
      <c r="I3512" s="11"/>
      <c r="J3512" s="11"/>
      <c r="K3512" s="11"/>
      <c r="L3512" s="11"/>
      <c r="M3512" s="11"/>
      <c r="N3512" s="11"/>
      <c r="O3512" s="11"/>
      <c r="P3512" s="11"/>
      <c r="Q3512" s="11"/>
      <c r="R3512" s="11"/>
      <c r="S3512" s="11"/>
    </row>
    <row r="3513" spans="1:19" s="9" customFormat="1" x14ac:dyDescent="0.25">
      <c r="A3513" s="10"/>
      <c r="B3513" s="11"/>
      <c r="C3513" s="11"/>
      <c r="D3513" s="11"/>
      <c r="E3513" s="11"/>
      <c r="F3513" s="11"/>
      <c r="G3513" s="11"/>
      <c r="H3513" s="11"/>
      <c r="I3513" s="11"/>
      <c r="J3513" s="11"/>
      <c r="K3513" s="11"/>
      <c r="L3513" s="11"/>
      <c r="M3513" s="11"/>
      <c r="N3513" s="11"/>
      <c r="O3513" s="11"/>
      <c r="P3513" s="11"/>
      <c r="Q3513" s="11"/>
      <c r="R3513" s="11"/>
      <c r="S3513" s="11"/>
    </row>
    <row r="3514" spans="1:19" s="9" customFormat="1" x14ac:dyDescent="0.25">
      <c r="A3514" s="10"/>
      <c r="B3514" s="11"/>
      <c r="C3514" s="11"/>
      <c r="D3514" s="11"/>
      <c r="E3514" s="11"/>
      <c r="F3514" s="11"/>
      <c r="G3514" s="11"/>
      <c r="H3514" s="11"/>
      <c r="I3514" s="11"/>
      <c r="J3514" s="11"/>
      <c r="K3514" s="11"/>
      <c r="L3514" s="11"/>
      <c r="M3514" s="11"/>
      <c r="N3514" s="11"/>
      <c r="O3514" s="11"/>
      <c r="P3514" s="11"/>
      <c r="Q3514" s="11"/>
      <c r="R3514" s="11"/>
      <c r="S3514" s="11"/>
    </row>
    <row r="3515" spans="1:19" s="9" customFormat="1" x14ac:dyDescent="0.25">
      <c r="A3515" s="10"/>
      <c r="B3515" s="11"/>
      <c r="C3515" s="11"/>
      <c r="D3515" s="11"/>
      <c r="E3515" s="11"/>
      <c r="F3515" s="11"/>
      <c r="G3515" s="11"/>
      <c r="H3515" s="11"/>
      <c r="I3515" s="11"/>
      <c r="J3515" s="11"/>
      <c r="K3515" s="11"/>
      <c r="L3515" s="11"/>
      <c r="M3515" s="11"/>
      <c r="N3515" s="11"/>
      <c r="O3515" s="11"/>
      <c r="P3515" s="11"/>
      <c r="Q3515" s="11"/>
      <c r="R3515" s="11"/>
      <c r="S3515" s="11"/>
    </row>
    <row r="3516" spans="1:19" s="9" customFormat="1" x14ac:dyDescent="0.25">
      <c r="A3516" s="10"/>
      <c r="B3516" s="11"/>
      <c r="C3516" s="11"/>
      <c r="D3516" s="11"/>
      <c r="E3516" s="11"/>
      <c r="F3516" s="11"/>
      <c r="G3516" s="11"/>
      <c r="H3516" s="11"/>
      <c r="I3516" s="11"/>
      <c r="J3516" s="11"/>
      <c r="K3516" s="11"/>
      <c r="L3516" s="11"/>
      <c r="M3516" s="11"/>
      <c r="N3516" s="11"/>
      <c r="O3516" s="11"/>
      <c r="P3516" s="11"/>
      <c r="Q3516" s="11"/>
      <c r="R3516" s="11"/>
      <c r="S3516" s="11"/>
    </row>
    <row r="3517" spans="1:19" s="9" customFormat="1" x14ac:dyDescent="0.25">
      <c r="A3517" s="10"/>
      <c r="B3517" s="11"/>
      <c r="C3517" s="11"/>
      <c r="D3517" s="11"/>
      <c r="E3517" s="11"/>
      <c r="F3517" s="11"/>
      <c r="G3517" s="11"/>
      <c r="H3517" s="11"/>
      <c r="I3517" s="11"/>
      <c r="J3517" s="11"/>
      <c r="K3517" s="11"/>
      <c r="L3517" s="11"/>
      <c r="M3517" s="11"/>
      <c r="N3517" s="11"/>
      <c r="O3517" s="11"/>
      <c r="P3517" s="11"/>
      <c r="Q3517" s="11"/>
      <c r="R3517" s="11"/>
      <c r="S3517" s="11"/>
    </row>
    <row r="3518" spans="1:19" s="9" customFormat="1" x14ac:dyDescent="0.25">
      <c r="A3518" s="10"/>
      <c r="B3518" s="11"/>
      <c r="C3518" s="11"/>
      <c r="D3518" s="11"/>
      <c r="E3518" s="11"/>
      <c r="F3518" s="11"/>
      <c r="G3518" s="11"/>
      <c r="H3518" s="11"/>
      <c r="I3518" s="11"/>
      <c r="J3518" s="11"/>
      <c r="K3518" s="11"/>
      <c r="L3518" s="11"/>
      <c r="M3518" s="11"/>
      <c r="N3518" s="11"/>
      <c r="O3518" s="11"/>
      <c r="P3518" s="11"/>
      <c r="Q3518" s="11"/>
      <c r="R3518" s="11"/>
      <c r="S3518" s="11"/>
    </row>
    <row r="3519" spans="1:19" s="9" customFormat="1" x14ac:dyDescent="0.25">
      <c r="A3519" s="10"/>
      <c r="B3519" s="11"/>
      <c r="C3519" s="11"/>
      <c r="D3519" s="11"/>
      <c r="E3519" s="11"/>
      <c r="F3519" s="11"/>
      <c r="G3519" s="11"/>
      <c r="H3519" s="11"/>
      <c r="I3519" s="11"/>
      <c r="J3519" s="11"/>
      <c r="K3519" s="11"/>
      <c r="L3519" s="11"/>
      <c r="M3519" s="11"/>
      <c r="N3519" s="11"/>
      <c r="O3519" s="11"/>
      <c r="P3519" s="11"/>
      <c r="Q3519" s="11"/>
      <c r="R3519" s="11"/>
      <c r="S3519" s="11"/>
    </row>
    <row r="3520" spans="1:19" s="9" customFormat="1" x14ac:dyDescent="0.25">
      <c r="A3520" s="10"/>
      <c r="B3520" s="11"/>
      <c r="C3520" s="11"/>
      <c r="D3520" s="11"/>
      <c r="E3520" s="11"/>
      <c r="F3520" s="11"/>
      <c r="G3520" s="11"/>
      <c r="H3520" s="11"/>
      <c r="I3520" s="11"/>
      <c r="J3520" s="11"/>
      <c r="K3520" s="11"/>
      <c r="L3520" s="11"/>
      <c r="M3520" s="11"/>
      <c r="N3520" s="11"/>
      <c r="O3520" s="11"/>
      <c r="P3520" s="11"/>
      <c r="Q3520" s="11"/>
      <c r="R3520" s="11"/>
      <c r="S3520" s="11"/>
    </row>
    <row r="3521" spans="1:19" s="9" customFormat="1" x14ac:dyDescent="0.25">
      <c r="A3521" s="10"/>
      <c r="B3521" s="11"/>
      <c r="C3521" s="11"/>
      <c r="D3521" s="11"/>
      <c r="E3521" s="11"/>
      <c r="F3521" s="11"/>
      <c r="G3521" s="11"/>
      <c r="H3521" s="11"/>
      <c r="I3521" s="11"/>
      <c r="J3521" s="11"/>
      <c r="K3521" s="11"/>
      <c r="L3521" s="11"/>
      <c r="M3521" s="11"/>
      <c r="N3521" s="11"/>
      <c r="O3521" s="11"/>
      <c r="P3521" s="11"/>
      <c r="Q3521" s="11"/>
      <c r="R3521" s="11"/>
      <c r="S3521" s="11"/>
    </row>
    <row r="3522" spans="1:19" s="9" customFormat="1" x14ac:dyDescent="0.25">
      <c r="A3522" s="10"/>
      <c r="B3522" s="11"/>
      <c r="C3522" s="11"/>
      <c r="D3522" s="11"/>
      <c r="E3522" s="11"/>
      <c r="F3522" s="11"/>
      <c r="G3522" s="11"/>
      <c r="H3522" s="11"/>
      <c r="I3522" s="11"/>
      <c r="J3522" s="11"/>
      <c r="K3522" s="11"/>
      <c r="L3522" s="11"/>
      <c r="M3522" s="11"/>
      <c r="N3522" s="11"/>
      <c r="O3522" s="11"/>
      <c r="P3522" s="11"/>
      <c r="Q3522" s="11"/>
      <c r="R3522" s="11"/>
      <c r="S3522" s="11"/>
    </row>
    <row r="3523" spans="1:19" s="9" customFormat="1" x14ac:dyDescent="0.25">
      <c r="A3523" s="10"/>
      <c r="B3523" s="11"/>
      <c r="C3523" s="11"/>
      <c r="D3523" s="11"/>
      <c r="E3523" s="11"/>
      <c r="F3523" s="11"/>
      <c r="G3523" s="11"/>
      <c r="H3523" s="11"/>
      <c r="I3523" s="11"/>
      <c r="J3523" s="11"/>
      <c r="K3523" s="11"/>
      <c r="L3523" s="11"/>
      <c r="M3523" s="11"/>
      <c r="N3523" s="11"/>
      <c r="O3523" s="11"/>
      <c r="P3523" s="11"/>
      <c r="Q3523" s="11"/>
      <c r="R3523" s="11"/>
      <c r="S3523" s="11"/>
    </row>
    <row r="3524" spans="1:19" s="9" customFormat="1" x14ac:dyDescent="0.25">
      <c r="A3524" s="10"/>
      <c r="B3524" s="11"/>
      <c r="C3524" s="11"/>
      <c r="D3524" s="11"/>
      <c r="E3524" s="11"/>
      <c r="F3524" s="11"/>
      <c r="G3524" s="11"/>
      <c r="H3524" s="11"/>
      <c r="I3524" s="11"/>
      <c r="J3524" s="11"/>
      <c r="K3524" s="11"/>
      <c r="L3524" s="11"/>
      <c r="M3524" s="11"/>
      <c r="N3524" s="11"/>
      <c r="O3524" s="11"/>
      <c r="P3524" s="11"/>
      <c r="Q3524" s="11"/>
      <c r="R3524" s="11"/>
      <c r="S3524" s="11"/>
    </row>
    <row r="3525" spans="1:19" s="9" customFormat="1" x14ac:dyDescent="0.25">
      <c r="A3525" s="10"/>
      <c r="B3525" s="11"/>
      <c r="C3525" s="11"/>
      <c r="D3525" s="11"/>
      <c r="E3525" s="11"/>
      <c r="F3525" s="11"/>
      <c r="G3525" s="11"/>
      <c r="H3525" s="11"/>
      <c r="I3525" s="11"/>
      <c r="J3525" s="11"/>
      <c r="K3525" s="11"/>
      <c r="L3525" s="11"/>
      <c r="M3525" s="11"/>
      <c r="N3525" s="11"/>
      <c r="O3525" s="11"/>
      <c r="P3525" s="11"/>
      <c r="Q3525" s="11"/>
      <c r="R3525" s="11"/>
      <c r="S3525" s="11"/>
    </row>
    <row r="3526" spans="1:19" s="9" customFormat="1" x14ac:dyDescent="0.25">
      <c r="A3526" s="10"/>
      <c r="B3526" s="11"/>
      <c r="C3526" s="11"/>
      <c r="D3526" s="11"/>
      <c r="E3526" s="11"/>
      <c r="F3526" s="11"/>
      <c r="G3526" s="11"/>
      <c r="H3526" s="11"/>
      <c r="I3526" s="11"/>
      <c r="J3526" s="11"/>
      <c r="K3526" s="11"/>
      <c r="L3526" s="11"/>
      <c r="M3526" s="11"/>
      <c r="N3526" s="11"/>
      <c r="O3526" s="11"/>
      <c r="P3526" s="11"/>
      <c r="Q3526" s="11"/>
      <c r="R3526" s="11"/>
      <c r="S3526" s="11"/>
    </row>
    <row r="3527" spans="1:19" s="9" customFormat="1" x14ac:dyDescent="0.25">
      <c r="A3527" s="10"/>
      <c r="B3527" s="11"/>
      <c r="C3527" s="11"/>
      <c r="D3527" s="11"/>
      <c r="E3527" s="11"/>
      <c r="F3527" s="11"/>
      <c r="G3527" s="11"/>
      <c r="H3527" s="11"/>
      <c r="I3527" s="11"/>
      <c r="J3527" s="11"/>
      <c r="K3527" s="11"/>
      <c r="L3527" s="11"/>
      <c r="M3527" s="11"/>
      <c r="N3527" s="11"/>
      <c r="O3527" s="11"/>
      <c r="P3527" s="11"/>
      <c r="Q3527" s="11"/>
      <c r="R3527" s="11"/>
      <c r="S3527" s="11"/>
    </row>
    <row r="3528" spans="1:19" s="9" customFormat="1" x14ac:dyDescent="0.25">
      <c r="A3528" s="10"/>
      <c r="B3528" s="11"/>
      <c r="C3528" s="11"/>
      <c r="D3528" s="11"/>
      <c r="E3528" s="11"/>
      <c r="F3528" s="11"/>
      <c r="G3528" s="11"/>
      <c r="H3528" s="11"/>
      <c r="I3528" s="11"/>
      <c r="J3528" s="11"/>
      <c r="K3528" s="11"/>
      <c r="L3528" s="11"/>
      <c r="M3528" s="11"/>
      <c r="N3528" s="11"/>
      <c r="O3528" s="11"/>
      <c r="P3528" s="11"/>
      <c r="Q3528" s="11"/>
      <c r="R3528" s="11"/>
      <c r="S3528" s="11"/>
    </row>
    <row r="3529" spans="1:19" s="9" customFormat="1" x14ac:dyDescent="0.25">
      <c r="A3529" s="10"/>
      <c r="B3529" s="11"/>
      <c r="C3529" s="11"/>
      <c r="D3529" s="11"/>
      <c r="E3529" s="11"/>
      <c r="F3529" s="11"/>
      <c r="G3529" s="11"/>
      <c r="H3529" s="11"/>
      <c r="I3529" s="11"/>
      <c r="J3529" s="11"/>
      <c r="K3529" s="11"/>
      <c r="L3529" s="11"/>
      <c r="M3529" s="11"/>
      <c r="N3529" s="11"/>
      <c r="O3529" s="11"/>
      <c r="P3529" s="11"/>
      <c r="Q3529" s="11"/>
      <c r="R3529" s="11"/>
      <c r="S3529" s="11"/>
    </row>
    <row r="3530" spans="1:19" s="9" customFormat="1" x14ac:dyDescent="0.25">
      <c r="A3530" s="10"/>
      <c r="B3530" s="11"/>
      <c r="C3530" s="11"/>
      <c r="D3530" s="11"/>
      <c r="E3530" s="11"/>
      <c r="F3530" s="11"/>
      <c r="G3530" s="11"/>
      <c r="H3530" s="11"/>
      <c r="I3530" s="11"/>
      <c r="J3530" s="11"/>
      <c r="K3530" s="11"/>
      <c r="L3530" s="11"/>
      <c r="M3530" s="11"/>
      <c r="N3530" s="11"/>
      <c r="O3530" s="11"/>
      <c r="P3530" s="11"/>
      <c r="Q3530" s="11"/>
      <c r="R3530" s="11"/>
      <c r="S3530" s="11"/>
    </row>
    <row r="3531" spans="1:19" s="9" customFormat="1" x14ac:dyDescent="0.25">
      <c r="A3531" s="10"/>
      <c r="B3531" s="11"/>
      <c r="C3531" s="11"/>
      <c r="D3531" s="11"/>
      <c r="E3531" s="11"/>
      <c r="F3531" s="11"/>
      <c r="G3531" s="11"/>
      <c r="H3531" s="11"/>
      <c r="I3531" s="11"/>
      <c r="J3531" s="11"/>
      <c r="K3531" s="11"/>
      <c r="L3531" s="11"/>
      <c r="M3531" s="11"/>
      <c r="N3531" s="11"/>
      <c r="O3531" s="11"/>
      <c r="P3531" s="11"/>
      <c r="Q3531" s="11"/>
      <c r="R3531" s="11"/>
      <c r="S3531" s="11"/>
    </row>
    <row r="3532" spans="1:19" s="9" customFormat="1" x14ac:dyDescent="0.25">
      <c r="A3532" s="10"/>
      <c r="B3532" s="11"/>
      <c r="C3532" s="11"/>
      <c r="D3532" s="11"/>
      <c r="E3532" s="11"/>
      <c r="F3532" s="11"/>
      <c r="G3532" s="11"/>
      <c r="H3532" s="11"/>
      <c r="I3532" s="11"/>
      <c r="J3532" s="11"/>
      <c r="K3532" s="11"/>
      <c r="L3532" s="11"/>
      <c r="M3532" s="11"/>
      <c r="N3532" s="11"/>
      <c r="O3532" s="11"/>
      <c r="P3532" s="11"/>
      <c r="Q3532" s="11"/>
      <c r="R3532" s="11"/>
      <c r="S3532" s="11"/>
    </row>
    <row r="3533" spans="1:19" s="9" customFormat="1" x14ac:dyDescent="0.25">
      <c r="A3533" s="10"/>
      <c r="B3533" s="11"/>
      <c r="C3533" s="11"/>
      <c r="D3533" s="11"/>
      <c r="E3533" s="11"/>
      <c r="F3533" s="11"/>
      <c r="G3533" s="11"/>
      <c r="H3533" s="11"/>
      <c r="I3533" s="11"/>
      <c r="J3533" s="11"/>
      <c r="K3533" s="11"/>
      <c r="L3533" s="11"/>
      <c r="M3533" s="11"/>
      <c r="N3533" s="11"/>
      <c r="O3533" s="11"/>
      <c r="P3533" s="11"/>
      <c r="Q3533" s="11"/>
      <c r="R3533" s="11"/>
      <c r="S3533" s="11"/>
    </row>
    <row r="3534" spans="1:19" s="9" customFormat="1" x14ac:dyDescent="0.25">
      <c r="A3534" s="10"/>
      <c r="B3534" s="11"/>
      <c r="C3534" s="11"/>
      <c r="D3534" s="11"/>
      <c r="E3534" s="11"/>
      <c r="F3534" s="11"/>
      <c r="G3534" s="11"/>
      <c r="H3534" s="11"/>
      <c r="I3534" s="11"/>
      <c r="J3534" s="11"/>
      <c r="K3534" s="11"/>
      <c r="L3534" s="11"/>
      <c r="M3534" s="11"/>
      <c r="N3534" s="11"/>
      <c r="O3534" s="11"/>
      <c r="P3534" s="11"/>
      <c r="Q3534" s="11"/>
      <c r="R3534" s="11"/>
      <c r="S3534" s="11"/>
    </row>
    <row r="3535" spans="1:19" s="9" customFormat="1" x14ac:dyDescent="0.25">
      <c r="A3535" s="10"/>
      <c r="B3535" s="11"/>
      <c r="C3535" s="11"/>
      <c r="D3535" s="11"/>
      <c r="E3535" s="11"/>
      <c r="F3535" s="11"/>
      <c r="G3535" s="11"/>
      <c r="H3535" s="11"/>
      <c r="I3535" s="11"/>
      <c r="J3535" s="11"/>
      <c r="K3535" s="11"/>
      <c r="L3535" s="11"/>
      <c r="M3535" s="11"/>
      <c r="N3535" s="11"/>
      <c r="O3535" s="11"/>
      <c r="P3535" s="11"/>
      <c r="Q3535" s="11"/>
      <c r="R3535" s="11"/>
      <c r="S3535" s="11"/>
    </row>
    <row r="3536" spans="1:19" s="9" customFormat="1" x14ac:dyDescent="0.25">
      <c r="A3536" s="10"/>
      <c r="B3536" s="11"/>
      <c r="C3536" s="11"/>
      <c r="D3536" s="11"/>
      <c r="E3536" s="11"/>
      <c r="F3536" s="11"/>
      <c r="G3536" s="11"/>
      <c r="H3536" s="11"/>
      <c r="I3536" s="11"/>
      <c r="J3536" s="11"/>
      <c r="K3536" s="11"/>
      <c r="L3536" s="11"/>
      <c r="M3536" s="11"/>
      <c r="N3536" s="11"/>
      <c r="O3536" s="11"/>
      <c r="P3536" s="11"/>
      <c r="Q3536" s="11"/>
      <c r="R3536" s="11"/>
      <c r="S3536" s="11"/>
    </row>
    <row r="3537" spans="1:19" s="9" customFormat="1" x14ac:dyDescent="0.25">
      <c r="A3537" s="10"/>
      <c r="B3537" s="11"/>
      <c r="C3537" s="11"/>
      <c r="D3537" s="11"/>
      <c r="E3537" s="11"/>
      <c r="F3537" s="11"/>
      <c r="G3537" s="11"/>
      <c r="H3537" s="11"/>
      <c r="I3537" s="11"/>
      <c r="J3537" s="11"/>
      <c r="K3537" s="11"/>
      <c r="L3537" s="11"/>
      <c r="M3537" s="11"/>
      <c r="N3537" s="11"/>
      <c r="O3537" s="11"/>
      <c r="P3537" s="11"/>
      <c r="Q3537" s="11"/>
      <c r="R3537" s="11"/>
      <c r="S3537" s="11"/>
    </row>
    <row r="3538" spans="1:19" s="9" customFormat="1" x14ac:dyDescent="0.25">
      <c r="A3538" s="10"/>
      <c r="B3538" s="11"/>
      <c r="C3538" s="11"/>
      <c r="D3538" s="11"/>
      <c r="E3538" s="11"/>
      <c r="F3538" s="11"/>
      <c r="G3538" s="11"/>
      <c r="H3538" s="11"/>
      <c r="I3538" s="11"/>
      <c r="J3538" s="11"/>
      <c r="K3538" s="11"/>
      <c r="L3538" s="11"/>
      <c r="M3538" s="11"/>
      <c r="N3538" s="11"/>
      <c r="O3538" s="11"/>
      <c r="P3538" s="11"/>
      <c r="Q3538" s="11"/>
      <c r="R3538" s="11"/>
      <c r="S3538" s="11"/>
    </row>
    <row r="3539" spans="1:19" s="9" customFormat="1" x14ac:dyDescent="0.25">
      <c r="A3539" s="10"/>
      <c r="B3539" s="11"/>
      <c r="C3539" s="11"/>
      <c r="D3539" s="11"/>
      <c r="E3539" s="11"/>
      <c r="F3539" s="11"/>
      <c r="G3539" s="11"/>
      <c r="H3539" s="11"/>
      <c r="I3539" s="11"/>
      <c r="J3539" s="11"/>
      <c r="K3539" s="11"/>
      <c r="L3539" s="11"/>
      <c r="M3539" s="11"/>
      <c r="N3539" s="11"/>
      <c r="O3539" s="11"/>
      <c r="P3539" s="11"/>
      <c r="Q3539" s="11"/>
      <c r="R3539" s="11"/>
      <c r="S3539" s="11"/>
    </row>
    <row r="3540" spans="1:19" s="9" customFormat="1" x14ac:dyDescent="0.25">
      <c r="A3540" s="10"/>
      <c r="B3540" s="11"/>
      <c r="C3540" s="11"/>
      <c r="D3540" s="11"/>
      <c r="E3540" s="11"/>
      <c r="F3540" s="11"/>
      <c r="G3540" s="11"/>
      <c r="H3540" s="11"/>
      <c r="I3540" s="11"/>
      <c r="J3540" s="11"/>
      <c r="K3540" s="11"/>
      <c r="L3540" s="11"/>
      <c r="M3540" s="11"/>
      <c r="N3540" s="11"/>
      <c r="O3540" s="11"/>
      <c r="P3540" s="11"/>
      <c r="Q3540" s="11"/>
      <c r="R3540" s="11"/>
      <c r="S3540" s="11"/>
    </row>
    <row r="3541" spans="1:19" s="9" customFormat="1" x14ac:dyDescent="0.25">
      <c r="A3541" s="10"/>
      <c r="B3541" s="11"/>
      <c r="C3541" s="11"/>
      <c r="D3541" s="11"/>
      <c r="E3541" s="11"/>
      <c r="F3541" s="11"/>
      <c r="G3541" s="11"/>
      <c r="H3541" s="11"/>
      <c r="I3541" s="11"/>
      <c r="J3541" s="11"/>
      <c r="K3541" s="11"/>
      <c r="L3541" s="11"/>
      <c r="M3541" s="11"/>
      <c r="N3541" s="11"/>
      <c r="O3541" s="11"/>
      <c r="P3541" s="11"/>
      <c r="Q3541" s="11"/>
      <c r="R3541" s="11"/>
      <c r="S3541" s="11"/>
    </row>
    <row r="3542" spans="1:19" s="9" customFormat="1" x14ac:dyDescent="0.25">
      <c r="A3542" s="10"/>
      <c r="B3542" s="11"/>
      <c r="C3542" s="11"/>
      <c r="D3542" s="11"/>
      <c r="E3542" s="11"/>
      <c r="F3542" s="11"/>
      <c r="G3542" s="11"/>
      <c r="H3542" s="11"/>
      <c r="I3542" s="11"/>
      <c r="J3542" s="11"/>
      <c r="K3542" s="11"/>
      <c r="L3542" s="11"/>
      <c r="M3542" s="11"/>
      <c r="N3542" s="11"/>
      <c r="O3542" s="11"/>
      <c r="P3542" s="11"/>
      <c r="Q3542" s="11"/>
      <c r="R3542" s="11"/>
      <c r="S3542" s="11"/>
    </row>
    <row r="3543" spans="1:19" s="9" customFormat="1" x14ac:dyDescent="0.25">
      <c r="A3543" s="10"/>
      <c r="B3543" s="11"/>
      <c r="C3543" s="11"/>
      <c r="D3543" s="11"/>
      <c r="E3543" s="11"/>
      <c r="F3543" s="11"/>
      <c r="G3543" s="11"/>
      <c r="H3543" s="11"/>
      <c r="I3543" s="11"/>
      <c r="J3543" s="11"/>
      <c r="K3543" s="11"/>
      <c r="L3543" s="11"/>
      <c r="M3543" s="11"/>
      <c r="N3543" s="11"/>
      <c r="O3543" s="11"/>
      <c r="P3543" s="11"/>
      <c r="Q3543" s="11"/>
      <c r="R3543" s="11"/>
      <c r="S3543" s="11"/>
    </row>
    <row r="3544" spans="1:19" s="9" customFormat="1" x14ac:dyDescent="0.25">
      <c r="A3544" s="10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  <c r="Q3544" s="11"/>
      <c r="R3544" s="11"/>
      <c r="S3544" s="11"/>
    </row>
    <row r="3545" spans="1:19" s="9" customFormat="1" x14ac:dyDescent="0.25">
      <c r="A3545" s="10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  <c r="Q3545" s="11"/>
      <c r="R3545" s="11"/>
      <c r="S3545" s="11"/>
    </row>
    <row r="3546" spans="1:19" s="9" customFormat="1" x14ac:dyDescent="0.25">
      <c r="A3546" s="10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  <c r="Q3546" s="11"/>
      <c r="R3546" s="11"/>
      <c r="S3546" s="11"/>
    </row>
    <row r="3547" spans="1:19" s="9" customFormat="1" x14ac:dyDescent="0.25">
      <c r="A3547" s="10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  <c r="Q3547" s="11"/>
      <c r="R3547" s="11"/>
      <c r="S3547" s="11"/>
    </row>
    <row r="3548" spans="1:19" s="9" customFormat="1" x14ac:dyDescent="0.25">
      <c r="A3548" s="10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  <c r="Q3548" s="11"/>
      <c r="R3548" s="11"/>
      <c r="S3548" s="11"/>
    </row>
    <row r="3549" spans="1:19" s="9" customFormat="1" x14ac:dyDescent="0.25">
      <c r="A3549" s="10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  <c r="Q3549" s="11"/>
      <c r="R3549" s="11"/>
      <c r="S3549" s="11"/>
    </row>
    <row r="3550" spans="1:19" s="9" customFormat="1" x14ac:dyDescent="0.25">
      <c r="A3550" s="10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  <c r="Q3550" s="11"/>
      <c r="R3550" s="11"/>
      <c r="S3550" s="11"/>
    </row>
    <row r="3551" spans="1:19" s="9" customFormat="1" x14ac:dyDescent="0.25">
      <c r="A3551" s="10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  <c r="Q3551" s="11"/>
      <c r="R3551" s="11"/>
      <c r="S3551" s="11"/>
    </row>
    <row r="3552" spans="1:19" s="9" customFormat="1" x14ac:dyDescent="0.25">
      <c r="A3552" s="10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  <c r="Q3552" s="11"/>
      <c r="R3552" s="11"/>
      <c r="S3552" s="11"/>
    </row>
    <row r="3553" spans="1:19" s="9" customFormat="1" x14ac:dyDescent="0.25">
      <c r="A3553" s="10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  <c r="Q3553" s="11"/>
      <c r="R3553" s="11"/>
      <c r="S3553" s="11"/>
    </row>
    <row r="3554" spans="1:19" s="9" customFormat="1" x14ac:dyDescent="0.25">
      <c r="A3554" s="10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  <c r="Q3554" s="11"/>
      <c r="R3554" s="11"/>
      <c r="S3554" s="11"/>
    </row>
    <row r="3555" spans="1:19" s="9" customFormat="1" x14ac:dyDescent="0.25">
      <c r="A3555" s="10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  <c r="Q3555" s="11"/>
      <c r="R3555" s="11"/>
      <c r="S3555" s="11"/>
    </row>
    <row r="3556" spans="1:19" s="9" customFormat="1" x14ac:dyDescent="0.25">
      <c r="A3556" s="10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  <c r="Q3556" s="11"/>
      <c r="R3556" s="11"/>
      <c r="S3556" s="11"/>
    </row>
    <row r="3557" spans="1:19" s="9" customFormat="1" x14ac:dyDescent="0.25">
      <c r="A3557" s="10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  <c r="Q3557" s="11"/>
      <c r="R3557" s="11"/>
      <c r="S3557" s="11"/>
    </row>
    <row r="3558" spans="1:19" s="9" customFormat="1" x14ac:dyDescent="0.25">
      <c r="A3558" s="10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  <c r="Q3558" s="11"/>
      <c r="R3558" s="11"/>
      <c r="S3558" s="11"/>
    </row>
    <row r="3559" spans="1:19" s="9" customFormat="1" x14ac:dyDescent="0.25">
      <c r="A3559" s="10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  <c r="Q3559" s="11"/>
      <c r="R3559" s="11"/>
      <c r="S3559" s="11"/>
    </row>
    <row r="3560" spans="1:19" s="9" customFormat="1" x14ac:dyDescent="0.25">
      <c r="A3560" s="10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  <c r="Q3560" s="11"/>
      <c r="R3560" s="11"/>
      <c r="S3560" s="11"/>
    </row>
    <row r="3561" spans="1:19" s="9" customFormat="1" x14ac:dyDescent="0.25">
      <c r="A3561" s="10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  <c r="Q3561" s="11"/>
      <c r="R3561" s="11"/>
      <c r="S3561" s="11"/>
    </row>
    <row r="3562" spans="1:19" s="9" customFormat="1" x14ac:dyDescent="0.25">
      <c r="A3562" s="10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  <c r="Q3562" s="11"/>
      <c r="R3562" s="11"/>
      <c r="S3562" s="11"/>
    </row>
    <row r="3563" spans="1:19" s="9" customFormat="1" x14ac:dyDescent="0.25">
      <c r="A3563" s="10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  <c r="Q3563" s="11"/>
      <c r="R3563" s="11"/>
      <c r="S3563" s="11"/>
    </row>
    <row r="3564" spans="1:19" s="9" customFormat="1" x14ac:dyDescent="0.25">
      <c r="A3564" s="10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  <c r="Q3564" s="11"/>
      <c r="R3564" s="11"/>
      <c r="S3564" s="11"/>
    </row>
    <row r="3565" spans="1:19" s="9" customFormat="1" x14ac:dyDescent="0.25">
      <c r="A3565" s="10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  <c r="Q3565" s="11"/>
      <c r="R3565" s="11"/>
      <c r="S3565" s="11"/>
    </row>
    <row r="3566" spans="1:19" s="9" customFormat="1" x14ac:dyDescent="0.25">
      <c r="A3566" s="10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  <c r="Q3566" s="11"/>
      <c r="R3566" s="11"/>
      <c r="S3566" s="11"/>
    </row>
    <row r="3567" spans="1:19" s="9" customFormat="1" x14ac:dyDescent="0.25">
      <c r="A3567" s="10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  <c r="Q3567" s="11"/>
      <c r="R3567" s="11"/>
      <c r="S3567" s="11"/>
    </row>
    <row r="3568" spans="1:19" s="9" customFormat="1" x14ac:dyDescent="0.25">
      <c r="A3568" s="10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  <c r="Q3568" s="11"/>
      <c r="R3568" s="11"/>
      <c r="S3568" s="11"/>
    </row>
    <row r="3569" spans="1:19" s="9" customFormat="1" x14ac:dyDescent="0.25">
      <c r="A3569" s="10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  <c r="Q3569" s="11"/>
      <c r="R3569" s="11"/>
      <c r="S3569" s="11"/>
    </row>
    <row r="3570" spans="1:19" s="9" customFormat="1" x14ac:dyDescent="0.25">
      <c r="A3570" s="10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  <c r="Q3570" s="11"/>
      <c r="R3570" s="11"/>
      <c r="S3570" s="11"/>
    </row>
    <row r="3571" spans="1:19" s="9" customFormat="1" x14ac:dyDescent="0.25">
      <c r="A3571" s="10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  <c r="Q3571" s="11"/>
      <c r="R3571" s="11"/>
      <c r="S3571" s="11"/>
    </row>
    <row r="3572" spans="1:19" s="9" customFormat="1" x14ac:dyDescent="0.25">
      <c r="A3572" s="10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  <c r="Q3572" s="11"/>
      <c r="R3572" s="11"/>
      <c r="S3572" s="11"/>
    </row>
    <row r="3573" spans="1:19" s="9" customFormat="1" x14ac:dyDescent="0.25">
      <c r="A3573" s="10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  <c r="Q3573" s="11"/>
      <c r="R3573" s="11"/>
      <c r="S3573" s="11"/>
    </row>
    <row r="3574" spans="1:19" s="9" customFormat="1" x14ac:dyDescent="0.25">
      <c r="A3574" s="10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  <c r="Q3574" s="11"/>
      <c r="R3574" s="11"/>
      <c r="S3574" s="11"/>
    </row>
    <row r="3575" spans="1:19" s="9" customFormat="1" x14ac:dyDescent="0.25">
      <c r="A3575" s="10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  <c r="Q3575" s="11"/>
      <c r="R3575" s="11"/>
      <c r="S3575" s="11"/>
    </row>
    <row r="3576" spans="1:19" s="9" customFormat="1" x14ac:dyDescent="0.25">
      <c r="A3576" s="10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  <c r="Q3576" s="11"/>
      <c r="R3576" s="11"/>
      <c r="S3576" s="11"/>
    </row>
    <row r="3577" spans="1:19" s="9" customFormat="1" x14ac:dyDescent="0.25">
      <c r="A3577" s="10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  <c r="Q3577" s="11"/>
      <c r="R3577" s="11"/>
      <c r="S3577" s="11"/>
    </row>
    <row r="3578" spans="1:19" s="9" customFormat="1" x14ac:dyDescent="0.25">
      <c r="A3578" s="10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  <c r="Q3578" s="11"/>
      <c r="R3578" s="11"/>
      <c r="S3578" s="11"/>
    </row>
    <row r="3579" spans="1:19" s="9" customFormat="1" x14ac:dyDescent="0.25">
      <c r="A3579" s="10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  <c r="Q3579" s="11"/>
      <c r="R3579" s="11"/>
      <c r="S3579" s="11"/>
    </row>
    <row r="3580" spans="1:19" s="9" customFormat="1" x14ac:dyDescent="0.25">
      <c r="A3580" s="10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  <c r="Q3580" s="11"/>
      <c r="R3580" s="11"/>
      <c r="S3580" s="11"/>
    </row>
    <row r="3581" spans="1:19" s="9" customFormat="1" x14ac:dyDescent="0.25">
      <c r="A3581" s="10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  <c r="Q3581" s="11"/>
      <c r="R3581" s="11"/>
      <c r="S3581" s="11"/>
    </row>
    <row r="3582" spans="1:19" s="9" customFormat="1" x14ac:dyDescent="0.25">
      <c r="A3582" s="10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  <c r="Q3582" s="11"/>
      <c r="R3582" s="11"/>
      <c r="S3582" s="11"/>
    </row>
    <row r="3583" spans="1:19" s="9" customFormat="1" x14ac:dyDescent="0.25">
      <c r="A3583" s="10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  <c r="Q3583" s="11"/>
      <c r="R3583" s="11"/>
      <c r="S3583" s="11"/>
    </row>
    <row r="3584" spans="1:19" s="9" customFormat="1" x14ac:dyDescent="0.25">
      <c r="A3584" s="10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  <c r="Q3584" s="11"/>
      <c r="R3584" s="11"/>
      <c r="S3584" s="11"/>
    </row>
    <row r="3585" spans="1:19" s="9" customFormat="1" x14ac:dyDescent="0.25">
      <c r="A3585" s="10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  <c r="Q3585" s="11"/>
      <c r="R3585" s="11"/>
      <c r="S3585" s="11"/>
    </row>
    <row r="3586" spans="1:19" s="9" customFormat="1" x14ac:dyDescent="0.25">
      <c r="A3586" s="10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  <c r="Q3586" s="11"/>
      <c r="R3586" s="11"/>
      <c r="S3586" s="11"/>
    </row>
    <row r="3587" spans="1:19" s="9" customFormat="1" x14ac:dyDescent="0.25">
      <c r="A3587" s="10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  <c r="Q3587" s="11"/>
      <c r="R3587" s="11"/>
      <c r="S3587" s="11"/>
    </row>
    <row r="3588" spans="1:19" s="9" customFormat="1" x14ac:dyDescent="0.25">
      <c r="A3588" s="10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  <c r="Q3588" s="11"/>
      <c r="R3588" s="11"/>
      <c r="S3588" s="11"/>
    </row>
    <row r="3589" spans="1:19" s="9" customFormat="1" x14ac:dyDescent="0.25">
      <c r="A3589" s="10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  <c r="Q3589" s="11"/>
      <c r="R3589" s="11"/>
      <c r="S3589" s="11"/>
    </row>
    <row r="3590" spans="1:19" s="9" customFormat="1" x14ac:dyDescent="0.25">
      <c r="A3590" s="10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  <c r="Q3590" s="11"/>
      <c r="R3590" s="11"/>
      <c r="S3590" s="11"/>
    </row>
    <row r="3591" spans="1:19" s="9" customFormat="1" x14ac:dyDescent="0.25">
      <c r="A3591" s="10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  <c r="Q3591" s="11"/>
      <c r="R3591" s="11"/>
      <c r="S3591" s="11"/>
    </row>
    <row r="3592" spans="1:19" s="9" customFormat="1" x14ac:dyDescent="0.25">
      <c r="A3592" s="10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  <c r="Q3592" s="11"/>
      <c r="R3592" s="11"/>
      <c r="S3592" s="11"/>
    </row>
    <row r="3593" spans="1:19" s="9" customFormat="1" x14ac:dyDescent="0.25">
      <c r="A3593" s="10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  <c r="Q3593" s="11"/>
      <c r="R3593" s="11"/>
      <c r="S3593" s="11"/>
    </row>
    <row r="3594" spans="1:19" s="9" customFormat="1" x14ac:dyDescent="0.25">
      <c r="A3594" s="10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  <c r="Q3594" s="11"/>
      <c r="R3594" s="11"/>
      <c r="S3594" s="11"/>
    </row>
    <row r="3595" spans="1:19" s="9" customFormat="1" x14ac:dyDescent="0.25">
      <c r="A3595" s="10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  <c r="Q3595" s="11"/>
      <c r="R3595" s="11"/>
      <c r="S3595" s="11"/>
    </row>
    <row r="3596" spans="1:19" s="9" customFormat="1" x14ac:dyDescent="0.25">
      <c r="A3596" s="10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  <c r="Q3596" s="11"/>
      <c r="R3596" s="11"/>
      <c r="S3596" s="11"/>
    </row>
    <row r="3597" spans="1:19" s="9" customFormat="1" x14ac:dyDescent="0.25">
      <c r="A3597" s="10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  <c r="Q3597" s="11"/>
      <c r="R3597" s="11"/>
      <c r="S3597" s="11"/>
    </row>
    <row r="3598" spans="1:19" s="9" customFormat="1" x14ac:dyDescent="0.25">
      <c r="A3598" s="10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  <c r="Q3598" s="11"/>
      <c r="R3598" s="11"/>
      <c r="S3598" s="11"/>
    </row>
    <row r="3599" spans="1:19" s="9" customFormat="1" x14ac:dyDescent="0.25">
      <c r="A3599" s="10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  <c r="Q3599" s="11"/>
      <c r="R3599" s="11"/>
      <c r="S3599" s="11"/>
    </row>
    <row r="3600" spans="1:19" s="9" customFormat="1" x14ac:dyDescent="0.25">
      <c r="A3600" s="10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  <c r="Q3600" s="11"/>
      <c r="R3600" s="11"/>
      <c r="S3600" s="11"/>
    </row>
    <row r="3601" spans="1:19" s="9" customFormat="1" x14ac:dyDescent="0.25">
      <c r="A3601" s="10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  <c r="Q3601" s="11"/>
      <c r="R3601" s="11"/>
      <c r="S3601" s="11"/>
    </row>
    <row r="3602" spans="1:19" s="9" customFormat="1" x14ac:dyDescent="0.25">
      <c r="A3602" s="10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  <c r="Q3602" s="11"/>
      <c r="R3602" s="11"/>
      <c r="S3602" s="11"/>
    </row>
    <row r="3603" spans="1:19" s="9" customFormat="1" x14ac:dyDescent="0.25">
      <c r="A3603" s="10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  <c r="Q3603" s="11"/>
      <c r="R3603" s="11"/>
      <c r="S3603" s="11"/>
    </row>
    <row r="3604" spans="1:19" s="9" customFormat="1" x14ac:dyDescent="0.25">
      <c r="A3604" s="10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  <c r="Q3604" s="11"/>
      <c r="R3604" s="11"/>
      <c r="S3604" s="11"/>
    </row>
    <row r="3605" spans="1:19" s="9" customFormat="1" x14ac:dyDescent="0.25">
      <c r="A3605" s="10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  <c r="Q3605" s="11"/>
      <c r="R3605" s="11"/>
      <c r="S3605" s="11"/>
    </row>
    <row r="3606" spans="1:19" s="9" customFormat="1" x14ac:dyDescent="0.25">
      <c r="A3606" s="10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  <c r="Q3606" s="11"/>
      <c r="R3606" s="11"/>
      <c r="S3606" s="11"/>
    </row>
    <row r="3607" spans="1:19" s="9" customFormat="1" x14ac:dyDescent="0.25">
      <c r="A3607" s="10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  <c r="Q3607" s="11"/>
      <c r="R3607" s="11"/>
      <c r="S3607" s="11"/>
    </row>
    <row r="3608" spans="1:19" s="9" customFormat="1" x14ac:dyDescent="0.25">
      <c r="A3608" s="10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  <c r="Q3608" s="11"/>
      <c r="R3608" s="11"/>
      <c r="S3608" s="11"/>
    </row>
    <row r="3609" spans="1:19" s="9" customFormat="1" x14ac:dyDescent="0.25">
      <c r="A3609" s="10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  <c r="Q3609" s="11"/>
      <c r="R3609" s="11"/>
      <c r="S3609" s="11"/>
    </row>
    <row r="3610" spans="1:19" s="9" customFormat="1" x14ac:dyDescent="0.25">
      <c r="A3610" s="10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  <c r="Q3610" s="11"/>
      <c r="R3610" s="11"/>
      <c r="S3610" s="11"/>
    </row>
    <row r="3611" spans="1:19" s="9" customFormat="1" x14ac:dyDescent="0.25">
      <c r="A3611" s="10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  <c r="Q3611" s="11"/>
      <c r="R3611" s="11"/>
      <c r="S3611" s="11"/>
    </row>
    <row r="3612" spans="1:19" s="9" customFormat="1" x14ac:dyDescent="0.25">
      <c r="A3612" s="10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  <c r="Q3612" s="11"/>
      <c r="R3612" s="11"/>
      <c r="S3612" s="11"/>
    </row>
    <row r="3613" spans="1:19" s="9" customFormat="1" x14ac:dyDescent="0.25">
      <c r="A3613" s="10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  <c r="Q3613" s="11"/>
      <c r="R3613" s="11"/>
      <c r="S3613" s="11"/>
    </row>
    <row r="3614" spans="1:19" s="9" customFormat="1" x14ac:dyDescent="0.25">
      <c r="A3614" s="10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  <c r="Q3614" s="11"/>
      <c r="R3614" s="11"/>
      <c r="S3614" s="11"/>
    </row>
    <row r="3615" spans="1:19" s="9" customFormat="1" x14ac:dyDescent="0.25">
      <c r="A3615" s="10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  <c r="Q3615" s="11"/>
      <c r="R3615" s="11"/>
      <c r="S3615" s="11"/>
    </row>
    <row r="3616" spans="1:19" s="9" customFormat="1" x14ac:dyDescent="0.25">
      <c r="A3616" s="10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  <c r="Q3616" s="11"/>
      <c r="R3616" s="11"/>
      <c r="S3616" s="11"/>
    </row>
    <row r="3617" spans="1:19" s="9" customFormat="1" x14ac:dyDescent="0.25">
      <c r="A3617" s="10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  <c r="Q3617" s="11"/>
      <c r="R3617" s="11"/>
      <c r="S3617" s="11"/>
    </row>
    <row r="3618" spans="1:19" s="9" customFormat="1" x14ac:dyDescent="0.25">
      <c r="A3618" s="10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  <c r="Q3618" s="11"/>
      <c r="R3618" s="11"/>
      <c r="S3618" s="11"/>
    </row>
    <row r="3619" spans="1:19" s="9" customFormat="1" x14ac:dyDescent="0.25">
      <c r="A3619" s="10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  <c r="Q3619" s="11"/>
      <c r="R3619" s="11"/>
      <c r="S3619" s="11"/>
    </row>
    <row r="3620" spans="1:19" s="9" customFormat="1" x14ac:dyDescent="0.25">
      <c r="A3620" s="10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  <c r="Q3620" s="11"/>
      <c r="R3620" s="11"/>
      <c r="S3620" s="11"/>
    </row>
    <row r="3621" spans="1:19" s="9" customFormat="1" x14ac:dyDescent="0.25">
      <c r="A3621" s="10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  <c r="Q3621" s="11"/>
      <c r="R3621" s="11"/>
      <c r="S3621" s="11"/>
    </row>
    <row r="3622" spans="1:19" s="9" customFormat="1" x14ac:dyDescent="0.25">
      <c r="A3622" s="10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  <c r="Q3622" s="11"/>
      <c r="R3622" s="11"/>
      <c r="S3622" s="11"/>
    </row>
    <row r="3623" spans="1:19" s="9" customFormat="1" x14ac:dyDescent="0.25">
      <c r="A3623" s="10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  <c r="Q3623" s="11"/>
      <c r="R3623" s="11"/>
      <c r="S3623" s="11"/>
    </row>
    <row r="3624" spans="1:19" s="9" customFormat="1" x14ac:dyDescent="0.25">
      <c r="A3624" s="10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  <c r="Q3624" s="11"/>
      <c r="R3624" s="11"/>
      <c r="S3624" s="11"/>
    </row>
    <row r="3625" spans="1:19" s="9" customFormat="1" x14ac:dyDescent="0.25">
      <c r="A3625" s="10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  <c r="Q3625" s="11"/>
      <c r="R3625" s="11"/>
      <c r="S3625" s="11"/>
    </row>
    <row r="3626" spans="1:19" s="9" customFormat="1" x14ac:dyDescent="0.25">
      <c r="A3626" s="10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  <c r="Q3626" s="11"/>
      <c r="R3626" s="11"/>
      <c r="S3626" s="11"/>
    </row>
    <row r="3627" spans="1:19" s="9" customFormat="1" x14ac:dyDescent="0.25">
      <c r="A3627" s="10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  <c r="Q3627" s="11"/>
      <c r="R3627" s="11"/>
      <c r="S3627" s="11"/>
    </row>
    <row r="3628" spans="1:19" s="9" customFormat="1" x14ac:dyDescent="0.25">
      <c r="A3628" s="10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  <c r="Q3628" s="11"/>
      <c r="R3628" s="11"/>
      <c r="S3628" s="11"/>
    </row>
    <row r="3629" spans="1:19" s="9" customFormat="1" x14ac:dyDescent="0.25">
      <c r="A3629" s="10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  <c r="Q3629" s="11"/>
      <c r="R3629" s="11"/>
      <c r="S3629" s="11"/>
    </row>
    <row r="3630" spans="1:19" s="9" customFormat="1" x14ac:dyDescent="0.25">
      <c r="A3630" s="10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  <c r="Q3630" s="11"/>
      <c r="R3630" s="11"/>
      <c r="S3630" s="11"/>
    </row>
    <row r="3631" spans="1:19" s="9" customFormat="1" x14ac:dyDescent="0.25">
      <c r="A3631" s="10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  <c r="Q3631" s="11"/>
      <c r="R3631" s="11"/>
      <c r="S3631" s="11"/>
    </row>
    <row r="3632" spans="1:19" s="9" customFormat="1" x14ac:dyDescent="0.25">
      <c r="A3632" s="10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  <c r="Q3632" s="11"/>
      <c r="R3632" s="11"/>
      <c r="S3632" s="11"/>
    </row>
    <row r="3633" spans="1:19" s="9" customFormat="1" x14ac:dyDescent="0.25">
      <c r="A3633" s="10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  <c r="Q3633" s="11"/>
      <c r="R3633" s="11"/>
      <c r="S3633" s="11"/>
    </row>
    <row r="3634" spans="1:19" s="9" customFormat="1" x14ac:dyDescent="0.25">
      <c r="A3634" s="10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  <c r="Q3634" s="11"/>
      <c r="R3634" s="11"/>
      <c r="S3634" s="11"/>
    </row>
    <row r="3635" spans="1:19" s="9" customFormat="1" x14ac:dyDescent="0.25">
      <c r="A3635" s="10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  <c r="Q3635" s="11"/>
      <c r="R3635" s="11"/>
      <c r="S3635" s="11"/>
    </row>
    <row r="3636" spans="1:19" s="9" customFormat="1" x14ac:dyDescent="0.25">
      <c r="A3636" s="10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  <c r="Q3636" s="11"/>
      <c r="R3636" s="11"/>
      <c r="S3636" s="11"/>
    </row>
    <row r="3637" spans="1:19" s="9" customFormat="1" x14ac:dyDescent="0.25">
      <c r="A3637" s="10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  <c r="Q3637" s="11"/>
      <c r="R3637" s="11"/>
      <c r="S3637" s="11"/>
    </row>
    <row r="3638" spans="1:19" s="9" customFormat="1" x14ac:dyDescent="0.25">
      <c r="A3638" s="10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  <c r="Q3638" s="11"/>
      <c r="R3638" s="11"/>
      <c r="S3638" s="11"/>
    </row>
    <row r="3639" spans="1:19" s="9" customFormat="1" x14ac:dyDescent="0.25">
      <c r="A3639" s="10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  <c r="Q3639" s="11"/>
      <c r="R3639" s="11"/>
      <c r="S3639" s="11"/>
    </row>
    <row r="3640" spans="1:19" s="9" customFormat="1" x14ac:dyDescent="0.25">
      <c r="A3640" s="10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  <c r="Q3640" s="11"/>
      <c r="R3640" s="11"/>
      <c r="S3640" s="11"/>
    </row>
    <row r="3641" spans="1:19" s="9" customFormat="1" x14ac:dyDescent="0.25">
      <c r="A3641" s="10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  <c r="Q3641" s="11"/>
      <c r="R3641" s="11"/>
      <c r="S3641" s="11"/>
    </row>
    <row r="3642" spans="1:19" s="9" customFormat="1" x14ac:dyDescent="0.25">
      <c r="A3642" s="10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  <c r="Q3642" s="11"/>
      <c r="R3642" s="11"/>
      <c r="S3642" s="11"/>
    </row>
    <row r="3643" spans="1:19" s="9" customFormat="1" x14ac:dyDescent="0.25">
      <c r="A3643" s="10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  <c r="Q3643" s="11"/>
      <c r="R3643" s="11"/>
      <c r="S3643" s="11"/>
    </row>
    <row r="3644" spans="1:19" s="9" customFormat="1" x14ac:dyDescent="0.25">
      <c r="A3644" s="10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  <c r="Q3644" s="11"/>
      <c r="R3644" s="11"/>
      <c r="S3644" s="11"/>
    </row>
    <row r="3645" spans="1:19" s="9" customFormat="1" x14ac:dyDescent="0.25">
      <c r="A3645" s="10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  <c r="Q3645" s="11"/>
      <c r="R3645" s="11"/>
      <c r="S3645" s="11"/>
    </row>
    <row r="3646" spans="1:19" s="9" customFormat="1" x14ac:dyDescent="0.25">
      <c r="A3646" s="10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  <c r="Q3646" s="11"/>
      <c r="R3646" s="11"/>
      <c r="S3646" s="11"/>
    </row>
    <row r="3647" spans="1:19" s="9" customFormat="1" x14ac:dyDescent="0.25">
      <c r="A3647" s="10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  <c r="Q3647" s="11"/>
      <c r="R3647" s="11"/>
      <c r="S3647" s="11"/>
    </row>
    <row r="3648" spans="1:19" s="9" customFormat="1" x14ac:dyDescent="0.25">
      <c r="A3648" s="10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  <c r="Q3648" s="11"/>
      <c r="R3648" s="11"/>
      <c r="S3648" s="11"/>
    </row>
    <row r="3649" spans="1:19" s="9" customFormat="1" x14ac:dyDescent="0.25">
      <c r="A3649" s="10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  <c r="Q3649" s="11"/>
      <c r="R3649" s="11"/>
      <c r="S3649" s="11"/>
    </row>
    <row r="3650" spans="1:19" s="9" customFormat="1" x14ac:dyDescent="0.25">
      <c r="A3650" s="10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  <c r="Q3650" s="11"/>
      <c r="R3650" s="11"/>
      <c r="S3650" s="11"/>
    </row>
    <row r="3651" spans="1:19" s="9" customFormat="1" x14ac:dyDescent="0.25">
      <c r="A3651" s="10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  <c r="Q3651" s="11"/>
      <c r="R3651" s="11"/>
      <c r="S3651" s="11"/>
    </row>
    <row r="3652" spans="1:19" s="9" customFormat="1" x14ac:dyDescent="0.25">
      <c r="A3652" s="10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  <c r="Q3652" s="11"/>
      <c r="R3652" s="11"/>
      <c r="S3652" s="11"/>
    </row>
    <row r="3653" spans="1:19" s="9" customFormat="1" x14ac:dyDescent="0.25">
      <c r="A3653" s="10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  <c r="Q3653" s="11"/>
      <c r="R3653" s="11"/>
      <c r="S3653" s="11"/>
    </row>
    <row r="3654" spans="1:19" s="9" customFormat="1" x14ac:dyDescent="0.25">
      <c r="A3654" s="10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  <c r="Q3654" s="11"/>
      <c r="R3654" s="11"/>
      <c r="S3654" s="11"/>
    </row>
    <row r="3655" spans="1:19" s="9" customFormat="1" x14ac:dyDescent="0.25">
      <c r="A3655" s="10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  <c r="Q3655" s="11"/>
      <c r="R3655" s="11"/>
      <c r="S3655" s="11"/>
    </row>
    <row r="3656" spans="1:19" s="9" customFormat="1" x14ac:dyDescent="0.25">
      <c r="A3656" s="10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  <c r="Q3656" s="11"/>
      <c r="R3656" s="11"/>
      <c r="S3656" s="11"/>
    </row>
    <row r="3657" spans="1:19" s="9" customFormat="1" x14ac:dyDescent="0.25">
      <c r="A3657" s="10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  <c r="Q3657" s="11"/>
      <c r="R3657" s="11"/>
      <c r="S3657" s="11"/>
    </row>
    <row r="3658" spans="1:19" s="9" customFormat="1" x14ac:dyDescent="0.25">
      <c r="A3658" s="10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  <c r="Q3658" s="11"/>
      <c r="R3658" s="11"/>
      <c r="S3658" s="11"/>
    </row>
    <row r="3659" spans="1:19" s="9" customFormat="1" x14ac:dyDescent="0.25">
      <c r="A3659" s="10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  <c r="Q3659" s="11"/>
      <c r="R3659" s="11"/>
      <c r="S3659" s="11"/>
    </row>
    <row r="3660" spans="1:19" s="9" customFormat="1" x14ac:dyDescent="0.25">
      <c r="A3660" s="10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  <c r="Q3660" s="11"/>
      <c r="R3660" s="11"/>
      <c r="S3660" s="11"/>
    </row>
    <row r="3661" spans="1:19" s="9" customFormat="1" x14ac:dyDescent="0.25">
      <c r="A3661" s="10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  <c r="Q3661" s="11"/>
      <c r="R3661" s="11"/>
      <c r="S3661" s="11"/>
    </row>
    <row r="3662" spans="1:19" s="9" customFormat="1" x14ac:dyDescent="0.25">
      <c r="A3662" s="10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  <c r="Q3662" s="11"/>
      <c r="R3662" s="11"/>
      <c r="S3662" s="11"/>
    </row>
    <row r="3663" spans="1:19" s="9" customFormat="1" x14ac:dyDescent="0.25">
      <c r="A3663" s="10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  <c r="Q3663" s="11"/>
      <c r="R3663" s="11"/>
      <c r="S3663" s="11"/>
    </row>
    <row r="3664" spans="1:19" s="9" customFormat="1" x14ac:dyDescent="0.25">
      <c r="A3664" s="10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  <c r="Q3664" s="11"/>
      <c r="R3664" s="11"/>
      <c r="S3664" s="11"/>
    </row>
    <row r="3665" spans="1:19" s="9" customFormat="1" x14ac:dyDescent="0.25">
      <c r="A3665" s="10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  <c r="Q3665" s="11"/>
      <c r="R3665" s="11"/>
      <c r="S3665" s="11"/>
    </row>
    <row r="3666" spans="1:19" s="9" customFormat="1" x14ac:dyDescent="0.25">
      <c r="A3666" s="10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  <c r="Q3666" s="11"/>
      <c r="R3666" s="11"/>
      <c r="S3666" s="11"/>
    </row>
    <row r="3667" spans="1:19" s="9" customFormat="1" x14ac:dyDescent="0.25">
      <c r="A3667" s="10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  <c r="Q3667" s="11"/>
      <c r="R3667" s="11"/>
      <c r="S3667" s="11"/>
    </row>
    <row r="3668" spans="1:19" s="9" customFormat="1" x14ac:dyDescent="0.25">
      <c r="A3668" s="10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  <c r="Q3668" s="11"/>
      <c r="R3668" s="11"/>
      <c r="S3668" s="11"/>
    </row>
    <row r="3669" spans="1:19" s="9" customFormat="1" x14ac:dyDescent="0.25">
      <c r="A3669" s="10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  <c r="Q3669" s="11"/>
      <c r="R3669" s="11"/>
      <c r="S3669" s="11"/>
    </row>
    <row r="3670" spans="1:19" s="9" customFormat="1" x14ac:dyDescent="0.25">
      <c r="A3670" s="10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  <c r="Q3670" s="11"/>
      <c r="R3670" s="11"/>
      <c r="S3670" s="11"/>
    </row>
    <row r="3671" spans="1:19" s="9" customFormat="1" x14ac:dyDescent="0.25">
      <c r="A3671" s="10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  <c r="Q3671" s="11"/>
      <c r="R3671" s="11"/>
      <c r="S3671" s="11"/>
    </row>
    <row r="3672" spans="1:19" s="9" customFormat="1" x14ac:dyDescent="0.25">
      <c r="A3672" s="10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  <c r="Q3672" s="11"/>
      <c r="R3672" s="11"/>
      <c r="S3672" s="11"/>
    </row>
    <row r="3673" spans="1:19" s="9" customFormat="1" x14ac:dyDescent="0.25">
      <c r="A3673" s="10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  <c r="Q3673" s="11"/>
      <c r="R3673" s="11"/>
      <c r="S3673" s="11"/>
    </row>
    <row r="3674" spans="1:19" s="9" customFormat="1" x14ac:dyDescent="0.25">
      <c r="A3674" s="10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  <c r="Q3674" s="11"/>
      <c r="R3674" s="11"/>
      <c r="S3674" s="11"/>
    </row>
    <row r="3675" spans="1:19" s="9" customFormat="1" x14ac:dyDescent="0.25">
      <c r="A3675" s="10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  <c r="Q3675" s="11"/>
      <c r="R3675" s="11"/>
      <c r="S3675" s="11"/>
    </row>
    <row r="3676" spans="1:19" s="9" customFormat="1" x14ac:dyDescent="0.25">
      <c r="A3676" s="10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  <c r="Q3676" s="11"/>
      <c r="R3676" s="11"/>
      <c r="S3676" s="11"/>
    </row>
    <row r="3677" spans="1:19" s="9" customFormat="1" x14ac:dyDescent="0.25">
      <c r="A3677" s="10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  <c r="Q3677" s="11"/>
      <c r="R3677" s="11"/>
      <c r="S3677" s="11"/>
    </row>
    <row r="3678" spans="1:19" s="9" customFormat="1" x14ac:dyDescent="0.25">
      <c r="A3678" s="10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  <c r="Q3678" s="11"/>
      <c r="R3678" s="11"/>
      <c r="S3678" s="11"/>
    </row>
    <row r="3679" spans="1:19" s="9" customFormat="1" x14ac:dyDescent="0.25">
      <c r="A3679" s="10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  <c r="Q3679" s="11"/>
      <c r="R3679" s="11"/>
      <c r="S3679" s="11"/>
    </row>
    <row r="3680" spans="1:19" s="9" customFormat="1" x14ac:dyDescent="0.25">
      <c r="A3680" s="10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  <c r="Q3680" s="11"/>
      <c r="R3680" s="11"/>
      <c r="S3680" s="11"/>
    </row>
    <row r="3681" spans="1:19" s="9" customFormat="1" x14ac:dyDescent="0.25">
      <c r="A3681" s="10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  <c r="Q3681" s="11"/>
      <c r="R3681" s="11"/>
      <c r="S3681" s="11"/>
    </row>
    <row r="3682" spans="1:19" s="9" customFormat="1" x14ac:dyDescent="0.25">
      <c r="A3682" s="10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  <c r="Q3682" s="11"/>
      <c r="R3682" s="11"/>
      <c r="S3682" s="11"/>
    </row>
    <row r="3683" spans="1:19" s="9" customFormat="1" x14ac:dyDescent="0.25">
      <c r="A3683" s="10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  <c r="Q3683" s="11"/>
      <c r="R3683" s="11"/>
      <c r="S3683" s="11"/>
    </row>
    <row r="3684" spans="1:19" s="9" customFormat="1" x14ac:dyDescent="0.25">
      <c r="A3684" s="10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  <c r="Q3684" s="11"/>
      <c r="R3684" s="11"/>
      <c r="S3684" s="11"/>
    </row>
    <row r="3685" spans="1:19" s="9" customFormat="1" x14ac:dyDescent="0.25">
      <c r="A3685" s="10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  <c r="Q3685" s="11"/>
      <c r="R3685" s="11"/>
      <c r="S3685" s="11"/>
    </row>
    <row r="3686" spans="1:19" s="9" customFormat="1" x14ac:dyDescent="0.25">
      <c r="A3686" s="10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  <c r="Q3686" s="11"/>
      <c r="R3686" s="11"/>
      <c r="S3686" s="11"/>
    </row>
    <row r="3687" spans="1:19" s="9" customFormat="1" x14ac:dyDescent="0.25">
      <c r="A3687" s="10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  <c r="Q3687" s="11"/>
      <c r="R3687" s="11"/>
      <c r="S3687" s="11"/>
    </row>
    <row r="3688" spans="1:19" s="9" customFormat="1" x14ac:dyDescent="0.25">
      <c r="A3688" s="10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  <c r="Q3688" s="11"/>
      <c r="R3688" s="11"/>
      <c r="S3688" s="11"/>
    </row>
    <row r="3689" spans="1:19" s="9" customFormat="1" x14ac:dyDescent="0.25">
      <c r="A3689" s="10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  <c r="Q3689" s="11"/>
      <c r="R3689" s="11"/>
      <c r="S3689" s="11"/>
    </row>
    <row r="3690" spans="1:19" s="9" customFormat="1" x14ac:dyDescent="0.25">
      <c r="A3690" s="10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  <c r="Q3690" s="11"/>
      <c r="R3690" s="11"/>
      <c r="S3690" s="11"/>
    </row>
    <row r="3691" spans="1:19" s="9" customFormat="1" x14ac:dyDescent="0.25">
      <c r="A3691" s="10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  <c r="Q3691" s="11"/>
      <c r="R3691" s="11"/>
      <c r="S3691" s="11"/>
    </row>
    <row r="3692" spans="1:19" s="9" customFormat="1" x14ac:dyDescent="0.25">
      <c r="A3692" s="10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  <c r="Q3692" s="11"/>
      <c r="R3692" s="11"/>
      <c r="S3692" s="11"/>
    </row>
    <row r="3693" spans="1:19" s="9" customFormat="1" x14ac:dyDescent="0.25">
      <c r="A3693" s="10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  <c r="Q3693" s="11"/>
      <c r="R3693" s="11"/>
      <c r="S3693" s="11"/>
    </row>
    <row r="3694" spans="1:19" s="9" customFormat="1" x14ac:dyDescent="0.25">
      <c r="A3694" s="10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  <c r="Q3694" s="11"/>
      <c r="R3694" s="11"/>
      <c r="S3694" s="11"/>
    </row>
    <row r="3695" spans="1:19" s="9" customFormat="1" x14ac:dyDescent="0.25">
      <c r="A3695" s="10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  <c r="Q3695" s="11"/>
      <c r="R3695" s="11"/>
      <c r="S3695" s="11"/>
    </row>
    <row r="3696" spans="1:19" s="9" customFormat="1" x14ac:dyDescent="0.25">
      <c r="A3696" s="10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  <c r="Q3696" s="11"/>
      <c r="R3696" s="11"/>
      <c r="S3696" s="11"/>
    </row>
    <row r="3697" spans="1:19" s="9" customFormat="1" x14ac:dyDescent="0.25">
      <c r="A3697" s="10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  <c r="Q3697" s="11"/>
      <c r="R3697" s="11"/>
      <c r="S3697" s="11"/>
    </row>
    <row r="3698" spans="1:19" s="9" customFormat="1" x14ac:dyDescent="0.25">
      <c r="A3698" s="10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  <c r="Q3698" s="11"/>
      <c r="R3698" s="11"/>
      <c r="S3698" s="11"/>
    </row>
    <row r="3699" spans="1:19" s="9" customFormat="1" x14ac:dyDescent="0.25">
      <c r="A3699" s="10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  <c r="Q3699" s="11"/>
      <c r="R3699" s="11"/>
      <c r="S3699" s="11"/>
    </row>
    <row r="3700" spans="1:19" s="9" customFormat="1" x14ac:dyDescent="0.25">
      <c r="A3700" s="10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  <c r="Q3700" s="11"/>
      <c r="R3700" s="11"/>
      <c r="S3700" s="11"/>
    </row>
    <row r="3701" spans="1:19" s="9" customFormat="1" x14ac:dyDescent="0.25">
      <c r="A3701" s="10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  <c r="Q3701" s="11"/>
      <c r="R3701" s="11"/>
      <c r="S3701" s="11"/>
    </row>
    <row r="3702" spans="1:19" s="9" customFormat="1" x14ac:dyDescent="0.25">
      <c r="A3702" s="10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  <c r="Q3702" s="11"/>
      <c r="R3702" s="11"/>
      <c r="S3702" s="11"/>
    </row>
    <row r="3703" spans="1:19" s="9" customFormat="1" x14ac:dyDescent="0.25">
      <c r="A3703" s="10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  <c r="Q3703" s="11"/>
      <c r="R3703" s="11"/>
      <c r="S3703" s="11"/>
    </row>
    <row r="3704" spans="1:19" s="9" customFormat="1" x14ac:dyDescent="0.25">
      <c r="A3704" s="10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  <c r="Q3704" s="11"/>
      <c r="R3704" s="11"/>
      <c r="S3704" s="11"/>
    </row>
    <row r="3705" spans="1:19" s="9" customFormat="1" x14ac:dyDescent="0.25">
      <c r="A3705" s="10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  <c r="Q3705" s="11"/>
      <c r="R3705" s="11"/>
      <c r="S3705" s="11"/>
    </row>
    <row r="3706" spans="1:19" s="9" customFormat="1" x14ac:dyDescent="0.25">
      <c r="A3706" s="10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  <c r="Q3706" s="11"/>
      <c r="R3706" s="11"/>
      <c r="S3706" s="11"/>
    </row>
    <row r="3707" spans="1:19" s="9" customFormat="1" x14ac:dyDescent="0.25">
      <c r="A3707" s="10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  <c r="Q3707" s="11"/>
      <c r="R3707" s="11"/>
      <c r="S3707" s="11"/>
    </row>
    <row r="3708" spans="1:19" s="9" customFormat="1" x14ac:dyDescent="0.25">
      <c r="A3708" s="10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  <c r="Q3708" s="11"/>
      <c r="R3708" s="11"/>
      <c r="S3708" s="11"/>
    </row>
    <row r="3709" spans="1:19" s="9" customFormat="1" x14ac:dyDescent="0.25">
      <c r="A3709" s="10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  <c r="Q3709" s="11"/>
      <c r="R3709" s="11"/>
      <c r="S3709" s="11"/>
    </row>
    <row r="3710" spans="1:19" s="9" customFormat="1" x14ac:dyDescent="0.25">
      <c r="A3710" s="10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  <c r="Q3710" s="11"/>
      <c r="R3710" s="11"/>
      <c r="S3710" s="11"/>
    </row>
    <row r="3711" spans="1:19" s="9" customFormat="1" x14ac:dyDescent="0.25">
      <c r="A3711" s="10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  <c r="Q3711" s="11"/>
      <c r="R3711" s="11"/>
      <c r="S3711" s="11"/>
    </row>
    <row r="3712" spans="1:19" s="9" customFormat="1" x14ac:dyDescent="0.25">
      <c r="A3712" s="10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  <c r="Q3712" s="11"/>
      <c r="R3712" s="11"/>
      <c r="S3712" s="11"/>
    </row>
    <row r="3713" spans="1:19" s="9" customFormat="1" x14ac:dyDescent="0.25">
      <c r="A3713" s="10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  <c r="Q3713" s="11"/>
      <c r="R3713" s="11"/>
      <c r="S3713" s="11"/>
    </row>
    <row r="3714" spans="1:19" s="9" customFormat="1" x14ac:dyDescent="0.25">
      <c r="A3714" s="10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  <c r="Q3714" s="11"/>
      <c r="R3714" s="11"/>
      <c r="S3714" s="11"/>
    </row>
    <row r="3715" spans="1:19" s="9" customFormat="1" x14ac:dyDescent="0.25">
      <c r="A3715" s="10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  <c r="Q3715" s="11"/>
      <c r="R3715" s="11"/>
      <c r="S3715" s="11"/>
    </row>
    <row r="3716" spans="1:19" s="9" customFormat="1" x14ac:dyDescent="0.25">
      <c r="A3716" s="10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  <c r="Q3716" s="11"/>
      <c r="R3716" s="11"/>
      <c r="S3716" s="11"/>
    </row>
    <row r="3717" spans="1:19" s="9" customFormat="1" x14ac:dyDescent="0.25">
      <c r="A3717" s="10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  <c r="Q3717" s="11"/>
      <c r="R3717" s="11"/>
      <c r="S3717" s="11"/>
    </row>
    <row r="3718" spans="1:19" s="9" customFormat="1" x14ac:dyDescent="0.25">
      <c r="A3718" s="10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  <c r="Q3718" s="11"/>
      <c r="R3718" s="11"/>
      <c r="S3718" s="11"/>
    </row>
    <row r="3719" spans="1:19" s="9" customFormat="1" x14ac:dyDescent="0.25">
      <c r="A3719" s="10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  <c r="Q3719" s="11"/>
      <c r="R3719" s="11"/>
      <c r="S3719" s="11"/>
    </row>
    <row r="3720" spans="1:19" s="9" customFormat="1" x14ac:dyDescent="0.25">
      <c r="A3720" s="10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  <c r="Q3720" s="11"/>
      <c r="R3720" s="11"/>
      <c r="S3720" s="11"/>
    </row>
    <row r="3721" spans="1:19" s="9" customFormat="1" x14ac:dyDescent="0.25">
      <c r="A3721" s="10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  <c r="Q3721" s="11"/>
      <c r="R3721" s="11"/>
      <c r="S3721" s="11"/>
    </row>
    <row r="3722" spans="1:19" s="9" customFormat="1" x14ac:dyDescent="0.25">
      <c r="A3722" s="10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  <c r="Q3722" s="11"/>
      <c r="R3722" s="11"/>
      <c r="S3722" s="11"/>
    </row>
    <row r="3723" spans="1:19" s="9" customFormat="1" x14ac:dyDescent="0.25">
      <c r="A3723" s="10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  <c r="Q3723" s="11"/>
      <c r="R3723" s="11"/>
      <c r="S3723" s="11"/>
    </row>
    <row r="3724" spans="1:19" s="9" customFormat="1" x14ac:dyDescent="0.25">
      <c r="A3724" s="10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  <c r="Q3724" s="11"/>
      <c r="R3724" s="11"/>
      <c r="S3724" s="11"/>
    </row>
    <row r="3725" spans="1:19" s="9" customFormat="1" x14ac:dyDescent="0.25">
      <c r="A3725" s="10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  <c r="Q3725" s="11"/>
      <c r="R3725" s="11"/>
      <c r="S3725" s="11"/>
    </row>
    <row r="3726" spans="1:19" s="9" customFormat="1" x14ac:dyDescent="0.25">
      <c r="A3726" s="10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  <c r="Q3726" s="11"/>
      <c r="R3726" s="11"/>
      <c r="S3726" s="11"/>
    </row>
    <row r="3727" spans="1:19" s="9" customFormat="1" x14ac:dyDescent="0.25">
      <c r="A3727" s="10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  <c r="Q3727" s="11"/>
      <c r="R3727" s="11"/>
      <c r="S3727" s="11"/>
    </row>
    <row r="3728" spans="1:19" s="9" customFormat="1" x14ac:dyDescent="0.25">
      <c r="A3728" s="10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  <c r="Q3728" s="11"/>
      <c r="R3728" s="11"/>
      <c r="S3728" s="11"/>
    </row>
    <row r="3729" spans="1:19" s="9" customFormat="1" x14ac:dyDescent="0.25">
      <c r="A3729" s="10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  <c r="Q3729" s="11"/>
      <c r="R3729" s="11"/>
      <c r="S3729" s="11"/>
    </row>
    <row r="3730" spans="1:19" s="9" customFormat="1" x14ac:dyDescent="0.25">
      <c r="A3730" s="10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  <c r="Q3730" s="11"/>
      <c r="R3730" s="11"/>
      <c r="S3730" s="11"/>
    </row>
    <row r="3731" spans="1:19" s="9" customFormat="1" x14ac:dyDescent="0.25">
      <c r="A3731" s="10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  <c r="Q3731" s="11"/>
      <c r="R3731" s="11"/>
      <c r="S3731" s="11"/>
    </row>
    <row r="3732" spans="1:19" s="9" customFormat="1" x14ac:dyDescent="0.25">
      <c r="A3732" s="10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  <c r="Q3732" s="11"/>
      <c r="R3732" s="11"/>
      <c r="S3732" s="11"/>
    </row>
    <row r="3733" spans="1:19" s="9" customFormat="1" x14ac:dyDescent="0.25">
      <c r="A3733" s="10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  <c r="Q3733" s="11"/>
      <c r="R3733" s="11"/>
      <c r="S3733" s="11"/>
    </row>
    <row r="3734" spans="1:19" s="9" customFormat="1" x14ac:dyDescent="0.25">
      <c r="A3734" s="10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  <c r="Q3734" s="11"/>
      <c r="R3734" s="11"/>
      <c r="S3734" s="11"/>
    </row>
    <row r="3735" spans="1:19" s="9" customFormat="1" x14ac:dyDescent="0.25">
      <c r="A3735" s="10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  <c r="Q3735" s="11"/>
      <c r="R3735" s="11"/>
      <c r="S3735" s="11"/>
    </row>
    <row r="3736" spans="1:19" s="9" customFormat="1" x14ac:dyDescent="0.25">
      <c r="A3736" s="10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  <c r="Q3736" s="11"/>
      <c r="R3736" s="11"/>
      <c r="S3736" s="11"/>
    </row>
    <row r="3737" spans="1:19" s="9" customFormat="1" x14ac:dyDescent="0.25">
      <c r="A3737" s="10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  <c r="Q3737" s="11"/>
      <c r="R3737" s="11"/>
      <c r="S3737" s="11"/>
    </row>
    <row r="3738" spans="1:19" s="9" customFormat="1" x14ac:dyDescent="0.25">
      <c r="A3738" s="10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  <c r="Q3738" s="11"/>
      <c r="R3738" s="11"/>
      <c r="S3738" s="11"/>
    </row>
    <row r="3739" spans="1:19" s="9" customFormat="1" x14ac:dyDescent="0.25">
      <c r="A3739" s="10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  <c r="Q3739" s="11"/>
      <c r="R3739" s="11"/>
      <c r="S3739" s="11"/>
    </row>
    <row r="3740" spans="1:19" s="9" customFormat="1" x14ac:dyDescent="0.25">
      <c r="A3740" s="10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  <c r="Q3740" s="11"/>
      <c r="R3740" s="11"/>
      <c r="S3740" s="11"/>
    </row>
    <row r="3741" spans="1:19" s="9" customFormat="1" x14ac:dyDescent="0.25">
      <c r="A3741" s="10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  <c r="Q3741" s="11"/>
      <c r="R3741" s="11"/>
      <c r="S3741" s="11"/>
    </row>
    <row r="3742" spans="1:19" s="9" customFormat="1" x14ac:dyDescent="0.25">
      <c r="A3742" s="10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  <c r="Q3742" s="11"/>
      <c r="R3742" s="11"/>
      <c r="S3742" s="11"/>
    </row>
    <row r="3743" spans="1:19" s="9" customFormat="1" x14ac:dyDescent="0.25">
      <c r="A3743" s="10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  <c r="Q3743" s="11"/>
      <c r="R3743" s="11"/>
      <c r="S3743" s="11"/>
    </row>
    <row r="3744" spans="1:19" s="9" customFormat="1" x14ac:dyDescent="0.25">
      <c r="A3744" s="10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  <c r="Q3744" s="11"/>
      <c r="R3744" s="11"/>
      <c r="S3744" s="11"/>
    </row>
    <row r="3745" spans="1:19" s="9" customFormat="1" x14ac:dyDescent="0.25">
      <c r="A3745" s="10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  <c r="Q3745" s="11"/>
      <c r="R3745" s="11"/>
      <c r="S3745" s="11"/>
    </row>
    <row r="3746" spans="1:19" s="9" customFormat="1" x14ac:dyDescent="0.25">
      <c r="A3746" s="10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  <c r="Q3746" s="11"/>
      <c r="R3746" s="11"/>
      <c r="S3746" s="11"/>
    </row>
    <row r="3747" spans="1:19" s="9" customFormat="1" x14ac:dyDescent="0.25">
      <c r="A3747" s="10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  <c r="Q3747" s="11"/>
      <c r="R3747" s="11"/>
      <c r="S3747" s="11"/>
    </row>
    <row r="3748" spans="1:19" s="9" customFormat="1" x14ac:dyDescent="0.25">
      <c r="A3748" s="10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  <c r="Q3748" s="11"/>
      <c r="R3748" s="11"/>
      <c r="S3748" s="11"/>
    </row>
    <row r="3749" spans="1:19" s="9" customFormat="1" x14ac:dyDescent="0.25">
      <c r="A3749" s="10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  <c r="Q3749" s="11"/>
      <c r="R3749" s="11"/>
      <c r="S3749" s="11"/>
    </row>
    <row r="3750" spans="1:19" s="9" customFormat="1" x14ac:dyDescent="0.25">
      <c r="A3750" s="10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  <c r="Q3750" s="11"/>
      <c r="R3750" s="11"/>
      <c r="S3750" s="11"/>
    </row>
    <row r="3751" spans="1:19" s="9" customFormat="1" x14ac:dyDescent="0.25">
      <c r="A3751" s="10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  <c r="Q3751" s="11"/>
      <c r="R3751" s="11"/>
      <c r="S3751" s="11"/>
    </row>
    <row r="3752" spans="1:19" s="9" customFormat="1" x14ac:dyDescent="0.25">
      <c r="A3752" s="10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  <c r="Q3752" s="11"/>
      <c r="R3752" s="11"/>
      <c r="S3752" s="11"/>
    </row>
    <row r="3753" spans="1:19" s="9" customFormat="1" x14ac:dyDescent="0.25">
      <c r="A3753" s="10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  <c r="Q3753" s="11"/>
      <c r="R3753" s="11"/>
      <c r="S3753" s="11"/>
    </row>
    <row r="3754" spans="1:19" s="9" customFormat="1" x14ac:dyDescent="0.25">
      <c r="A3754" s="10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  <c r="Q3754" s="11"/>
      <c r="R3754" s="11"/>
      <c r="S3754" s="11"/>
    </row>
    <row r="3755" spans="1:19" s="9" customFormat="1" x14ac:dyDescent="0.25">
      <c r="A3755" s="10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  <c r="Q3755" s="11"/>
      <c r="R3755" s="11"/>
      <c r="S3755" s="11"/>
    </row>
    <row r="3756" spans="1:19" s="9" customFormat="1" x14ac:dyDescent="0.25">
      <c r="A3756" s="10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  <c r="Q3756" s="11"/>
      <c r="R3756" s="11"/>
      <c r="S3756" s="11"/>
    </row>
    <row r="3757" spans="1:19" s="9" customFormat="1" x14ac:dyDescent="0.25">
      <c r="A3757" s="10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  <c r="Q3757" s="11"/>
      <c r="R3757" s="11"/>
      <c r="S3757" s="11"/>
    </row>
    <row r="3758" spans="1:19" s="9" customFormat="1" x14ac:dyDescent="0.25">
      <c r="A3758" s="10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  <c r="Q3758" s="11"/>
      <c r="R3758" s="11"/>
      <c r="S3758" s="11"/>
    </row>
    <row r="3759" spans="1:19" s="9" customFormat="1" x14ac:dyDescent="0.25">
      <c r="A3759" s="10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  <c r="Q3759" s="11"/>
      <c r="R3759" s="11"/>
      <c r="S3759" s="11"/>
    </row>
    <row r="3760" spans="1:19" s="9" customFormat="1" x14ac:dyDescent="0.25">
      <c r="A3760" s="10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  <c r="Q3760" s="11"/>
      <c r="R3760" s="11"/>
      <c r="S3760" s="11"/>
    </row>
    <row r="3761" spans="1:19" s="9" customFormat="1" x14ac:dyDescent="0.25">
      <c r="A3761" s="10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  <c r="Q3761" s="11"/>
      <c r="R3761" s="11"/>
      <c r="S3761" s="11"/>
    </row>
    <row r="3762" spans="1:19" s="9" customFormat="1" x14ac:dyDescent="0.25">
      <c r="A3762" s="10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  <c r="Q3762" s="11"/>
      <c r="R3762" s="11"/>
      <c r="S3762" s="11"/>
    </row>
    <row r="3763" spans="1:19" s="9" customFormat="1" x14ac:dyDescent="0.25">
      <c r="A3763" s="10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  <c r="Q3763" s="11"/>
      <c r="R3763" s="11"/>
      <c r="S3763" s="11"/>
    </row>
    <row r="3764" spans="1:19" s="9" customFormat="1" x14ac:dyDescent="0.25">
      <c r="A3764" s="10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  <c r="Q3764" s="11"/>
      <c r="R3764" s="11"/>
      <c r="S3764" s="11"/>
    </row>
    <row r="3765" spans="1:19" s="9" customFormat="1" x14ac:dyDescent="0.25">
      <c r="A3765" s="10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  <c r="Q3765" s="11"/>
      <c r="R3765" s="11"/>
      <c r="S3765" s="11"/>
    </row>
    <row r="3766" spans="1:19" s="9" customFormat="1" x14ac:dyDescent="0.25">
      <c r="A3766" s="10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  <c r="Q3766" s="11"/>
      <c r="R3766" s="11"/>
      <c r="S3766" s="11"/>
    </row>
    <row r="3767" spans="1:19" s="9" customFormat="1" x14ac:dyDescent="0.25">
      <c r="A3767" s="10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  <c r="Q3767" s="11"/>
      <c r="R3767" s="11"/>
      <c r="S3767" s="11"/>
    </row>
    <row r="3768" spans="1:19" s="9" customFormat="1" x14ac:dyDescent="0.25">
      <c r="A3768" s="10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  <c r="Q3768" s="11"/>
      <c r="R3768" s="11"/>
      <c r="S3768" s="11"/>
    </row>
    <row r="3769" spans="1:19" s="9" customFormat="1" x14ac:dyDescent="0.25">
      <c r="A3769" s="10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  <c r="Q3769" s="11"/>
      <c r="R3769" s="11"/>
      <c r="S3769" s="11"/>
    </row>
    <row r="3770" spans="1:19" s="9" customFormat="1" x14ac:dyDescent="0.25">
      <c r="A3770" s="10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  <c r="Q3770" s="11"/>
      <c r="R3770" s="11"/>
      <c r="S3770" s="11"/>
    </row>
    <row r="3771" spans="1:19" s="9" customFormat="1" x14ac:dyDescent="0.25">
      <c r="A3771" s="10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  <c r="Q3771" s="11"/>
      <c r="R3771" s="11"/>
      <c r="S3771" s="11"/>
    </row>
    <row r="3772" spans="1:19" s="9" customFormat="1" x14ac:dyDescent="0.25">
      <c r="A3772" s="10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  <c r="Q3772" s="11"/>
      <c r="R3772" s="11"/>
      <c r="S3772" s="11"/>
    </row>
    <row r="3773" spans="1:19" s="9" customFormat="1" x14ac:dyDescent="0.25">
      <c r="A3773" s="10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  <c r="Q3773" s="11"/>
      <c r="R3773" s="11"/>
      <c r="S3773" s="11"/>
    </row>
    <row r="3774" spans="1:19" s="9" customFormat="1" x14ac:dyDescent="0.25">
      <c r="A3774" s="10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  <c r="Q3774" s="11"/>
      <c r="R3774" s="11"/>
      <c r="S3774" s="11"/>
    </row>
    <row r="3775" spans="1:19" s="9" customFormat="1" x14ac:dyDescent="0.25">
      <c r="A3775" s="10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  <c r="Q3775" s="11"/>
      <c r="R3775" s="11"/>
      <c r="S3775" s="11"/>
    </row>
    <row r="3776" spans="1:19" s="9" customFormat="1" x14ac:dyDescent="0.25">
      <c r="A3776" s="10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  <c r="Q3776" s="11"/>
      <c r="R3776" s="11"/>
      <c r="S3776" s="11"/>
    </row>
    <row r="3777" spans="1:19" s="9" customFormat="1" x14ac:dyDescent="0.25">
      <c r="A3777" s="10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  <c r="Q3777" s="11"/>
      <c r="R3777" s="11"/>
      <c r="S3777" s="11"/>
    </row>
    <row r="3778" spans="1:19" s="9" customFormat="1" x14ac:dyDescent="0.25">
      <c r="A3778" s="10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  <c r="Q3778" s="11"/>
      <c r="R3778" s="11"/>
      <c r="S3778" s="11"/>
    </row>
    <row r="3779" spans="1:19" s="9" customFormat="1" x14ac:dyDescent="0.25">
      <c r="A3779" s="10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  <c r="Q3779" s="11"/>
      <c r="R3779" s="11"/>
      <c r="S3779" s="11"/>
    </row>
    <row r="3780" spans="1:19" s="9" customFormat="1" x14ac:dyDescent="0.25">
      <c r="A3780" s="10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  <c r="Q3780" s="11"/>
      <c r="R3780" s="11"/>
      <c r="S3780" s="11"/>
    </row>
    <row r="3781" spans="1:19" s="9" customFormat="1" x14ac:dyDescent="0.25">
      <c r="A3781" s="10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  <c r="Q3781" s="11"/>
      <c r="R3781" s="11"/>
      <c r="S3781" s="11"/>
    </row>
    <row r="3782" spans="1:19" s="9" customFormat="1" x14ac:dyDescent="0.25">
      <c r="A3782" s="10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  <c r="Q3782" s="11"/>
      <c r="R3782" s="11"/>
      <c r="S3782" s="11"/>
    </row>
    <row r="3783" spans="1:19" s="9" customFormat="1" x14ac:dyDescent="0.25">
      <c r="A3783" s="10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  <c r="Q3783" s="11"/>
      <c r="R3783" s="11"/>
      <c r="S3783" s="11"/>
    </row>
    <row r="3784" spans="1:19" s="9" customFormat="1" x14ac:dyDescent="0.25">
      <c r="A3784" s="10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  <c r="Q3784" s="11"/>
      <c r="R3784" s="11"/>
      <c r="S3784" s="11"/>
    </row>
    <row r="3785" spans="1:19" s="9" customFormat="1" x14ac:dyDescent="0.25">
      <c r="A3785" s="10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  <c r="Q3785" s="11"/>
      <c r="R3785" s="11"/>
      <c r="S3785" s="11"/>
    </row>
    <row r="3786" spans="1:19" s="9" customFormat="1" x14ac:dyDescent="0.25">
      <c r="A3786" s="10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  <c r="Q3786" s="11"/>
      <c r="R3786" s="11"/>
      <c r="S3786" s="11"/>
    </row>
    <row r="3787" spans="1:19" s="9" customFormat="1" x14ac:dyDescent="0.25">
      <c r="A3787" s="10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  <c r="Q3787" s="11"/>
      <c r="R3787" s="11"/>
      <c r="S3787" s="11"/>
    </row>
    <row r="3788" spans="1:19" s="9" customFormat="1" x14ac:dyDescent="0.25">
      <c r="A3788" s="10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  <c r="Q3788" s="11"/>
      <c r="R3788" s="11"/>
      <c r="S3788" s="11"/>
    </row>
    <row r="3789" spans="1:19" s="9" customFormat="1" x14ac:dyDescent="0.25">
      <c r="A3789" s="10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  <c r="Q3789" s="11"/>
      <c r="R3789" s="11"/>
      <c r="S3789" s="11"/>
    </row>
    <row r="3790" spans="1:19" s="9" customFormat="1" x14ac:dyDescent="0.25">
      <c r="A3790" s="10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  <c r="Q3790" s="11"/>
      <c r="R3790" s="11"/>
      <c r="S3790" s="11"/>
    </row>
    <row r="3791" spans="1:19" s="9" customFormat="1" x14ac:dyDescent="0.25">
      <c r="A3791" s="10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  <c r="Q3791" s="11"/>
      <c r="R3791" s="11"/>
      <c r="S3791" s="11"/>
    </row>
    <row r="3792" spans="1:19" s="9" customFormat="1" x14ac:dyDescent="0.25">
      <c r="A3792" s="10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  <c r="Q3792" s="11"/>
      <c r="R3792" s="11"/>
      <c r="S3792" s="11"/>
    </row>
    <row r="3793" spans="1:19" s="9" customFormat="1" x14ac:dyDescent="0.25">
      <c r="A3793" s="10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  <c r="Q3793" s="11"/>
      <c r="R3793" s="11"/>
      <c r="S3793" s="11"/>
    </row>
    <row r="3794" spans="1:19" s="9" customFormat="1" x14ac:dyDescent="0.25">
      <c r="A3794" s="10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  <c r="Q3794" s="11"/>
      <c r="R3794" s="11"/>
      <c r="S3794" s="11"/>
    </row>
    <row r="3795" spans="1:19" s="9" customFormat="1" x14ac:dyDescent="0.25">
      <c r="A3795" s="10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  <c r="Q3795" s="11"/>
      <c r="R3795" s="11"/>
      <c r="S3795" s="11"/>
    </row>
    <row r="3796" spans="1:19" s="9" customFormat="1" x14ac:dyDescent="0.25">
      <c r="A3796" s="10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  <c r="Q3796" s="11"/>
      <c r="R3796" s="11"/>
      <c r="S3796" s="11"/>
    </row>
    <row r="3797" spans="1:19" s="9" customFormat="1" x14ac:dyDescent="0.25">
      <c r="A3797" s="10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  <c r="Q3797" s="11"/>
      <c r="R3797" s="11"/>
      <c r="S3797" s="11"/>
    </row>
    <row r="3798" spans="1:19" s="9" customFormat="1" x14ac:dyDescent="0.25">
      <c r="A3798" s="10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  <c r="Q3798" s="11"/>
      <c r="R3798" s="11"/>
      <c r="S3798" s="11"/>
    </row>
    <row r="3799" spans="1:19" s="9" customFormat="1" x14ac:dyDescent="0.25">
      <c r="A3799" s="10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  <c r="Q3799" s="11"/>
      <c r="R3799" s="11"/>
      <c r="S3799" s="11"/>
    </row>
    <row r="3800" spans="1:19" s="9" customFormat="1" x14ac:dyDescent="0.25">
      <c r="A3800" s="10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  <c r="Q3800" s="11"/>
      <c r="R3800" s="11"/>
      <c r="S3800" s="11"/>
    </row>
    <row r="3801" spans="1:19" s="9" customFormat="1" x14ac:dyDescent="0.25">
      <c r="A3801" s="10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  <c r="Q3801" s="11"/>
      <c r="R3801" s="11"/>
      <c r="S3801" s="11"/>
    </row>
    <row r="3802" spans="1:19" s="9" customFormat="1" x14ac:dyDescent="0.25">
      <c r="A3802" s="10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  <c r="Q3802" s="11"/>
      <c r="R3802" s="11"/>
      <c r="S3802" s="11"/>
    </row>
    <row r="3803" spans="1:19" s="9" customFormat="1" x14ac:dyDescent="0.25">
      <c r="A3803" s="10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  <c r="Q3803" s="11"/>
      <c r="R3803" s="11"/>
      <c r="S3803" s="11"/>
    </row>
    <row r="3804" spans="1:19" s="9" customFormat="1" x14ac:dyDescent="0.25">
      <c r="A3804" s="10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  <c r="Q3804" s="11"/>
      <c r="R3804" s="11"/>
      <c r="S3804" s="11"/>
    </row>
    <row r="3805" spans="1:19" s="9" customFormat="1" x14ac:dyDescent="0.25">
      <c r="A3805" s="10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  <c r="Q3805" s="11"/>
      <c r="R3805" s="11"/>
      <c r="S3805" s="11"/>
    </row>
    <row r="3806" spans="1:19" s="9" customFormat="1" x14ac:dyDescent="0.25">
      <c r="A3806" s="10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  <c r="Q3806" s="11"/>
      <c r="R3806" s="11"/>
      <c r="S3806" s="11"/>
    </row>
    <row r="3807" spans="1:19" s="9" customFormat="1" x14ac:dyDescent="0.25">
      <c r="A3807" s="10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  <c r="Q3807" s="11"/>
      <c r="R3807" s="11"/>
      <c r="S3807" s="11"/>
    </row>
    <row r="3808" spans="1:19" s="9" customFormat="1" x14ac:dyDescent="0.25">
      <c r="A3808" s="10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  <c r="Q3808" s="11"/>
      <c r="R3808" s="11"/>
      <c r="S3808" s="11"/>
    </row>
    <row r="3809" spans="1:19" s="9" customFormat="1" x14ac:dyDescent="0.25">
      <c r="A3809" s="10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  <c r="Q3809" s="11"/>
      <c r="R3809" s="11"/>
      <c r="S3809" s="11"/>
    </row>
    <row r="3810" spans="1:19" s="9" customFormat="1" x14ac:dyDescent="0.25">
      <c r="A3810" s="10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  <c r="Q3810" s="11"/>
      <c r="R3810" s="11"/>
      <c r="S3810" s="11"/>
    </row>
    <row r="3811" spans="1:19" s="9" customFormat="1" x14ac:dyDescent="0.25">
      <c r="A3811" s="10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  <c r="Q3811" s="11"/>
      <c r="R3811" s="11"/>
      <c r="S3811" s="11"/>
    </row>
    <row r="3812" spans="1:19" s="9" customFormat="1" x14ac:dyDescent="0.25">
      <c r="A3812" s="10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  <c r="Q3812" s="11"/>
      <c r="R3812" s="11"/>
      <c r="S3812" s="11"/>
    </row>
    <row r="3813" spans="1:19" s="9" customFormat="1" x14ac:dyDescent="0.25">
      <c r="A3813" s="10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  <c r="Q3813" s="11"/>
      <c r="R3813" s="11"/>
      <c r="S3813" s="11"/>
    </row>
    <row r="3814" spans="1:19" s="9" customFormat="1" x14ac:dyDescent="0.25">
      <c r="A3814" s="10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  <c r="Q3814" s="11"/>
      <c r="R3814" s="11"/>
      <c r="S3814" s="11"/>
    </row>
    <row r="3815" spans="1:19" s="9" customFormat="1" x14ac:dyDescent="0.25">
      <c r="A3815" s="10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  <c r="Q3815" s="11"/>
      <c r="R3815" s="11"/>
      <c r="S3815" s="11"/>
    </row>
    <row r="3816" spans="1:19" s="9" customFormat="1" x14ac:dyDescent="0.25">
      <c r="A3816" s="10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  <c r="Q3816" s="11"/>
      <c r="R3816" s="11"/>
      <c r="S3816" s="11"/>
    </row>
    <row r="3817" spans="1:19" s="9" customFormat="1" x14ac:dyDescent="0.25">
      <c r="A3817" s="10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  <c r="Q3817" s="11"/>
      <c r="R3817" s="11"/>
      <c r="S3817" s="11"/>
    </row>
    <row r="3818" spans="1:19" s="9" customFormat="1" x14ac:dyDescent="0.25">
      <c r="A3818" s="10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  <c r="Q3818" s="11"/>
      <c r="R3818" s="11"/>
      <c r="S3818" s="11"/>
    </row>
    <row r="3819" spans="1:19" s="9" customFormat="1" x14ac:dyDescent="0.25">
      <c r="A3819" s="10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  <c r="Q3819" s="11"/>
      <c r="R3819" s="11"/>
      <c r="S3819" s="11"/>
    </row>
    <row r="3820" spans="1:19" s="9" customFormat="1" x14ac:dyDescent="0.25">
      <c r="A3820" s="10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  <c r="Q3820" s="11"/>
      <c r="R3820" s="11"/>
      <c r="S3820" s="11"/>
    </row>
    <row r="3821" spans="1:19" s="9" customFormat="1" x14ac:dyDescent="0.25">
      <c r="A3821" s="10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  <c r="Q3821" s="11"/>
      <c r="R3821" s="11"/>
      <c r="S3821" s="11"/>
    </row>
    <row r="3822" spans="1:19" s="9" customFormat="1" x14ac:dyDescent="0.25">
      <c r="A3822" s="10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  <c r="Q3822" s="11"/>
      <c r="R3822" s="11"/>
      <c r="S3822" s="11"/>
    </row>
    <row r="3823" spans="1:19" s="9" customFormat="1" x14ac:dyDescent="0.25">
      <c r="A3823" s="10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  <c r="Q3823" s="11"/>
      <c r="R3823" s="11"/>
      <c r="S3823" s="11"/>
    </row>
    <row r="3824" spans="1:19" s="9" customFormat="1" x14ac:dyDescent="0.25">
      <c r="A3824" s="10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  <c r="Q3824" s="11"/>
      <c r="R3824" s="11"/>
      <c r="S3824" s="11"/>
    </row>
    <row r="3825" spans="1:19" s="9" customFormat="1" x14ac:dyDescent="0.25">
      <c r="A3825" s="10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  <c r="Q3825" s="11"/>
      <c r="R3825" s="11"/>
      <c r="S3825" s="11"/>
    </row>
    <row r="3826" spans="1:19" s="9" customFormat="1" x14ac:dyDescent="0.25">
      <c r="A3826" s="10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  <c r="Q3826" s="11"/>
      <c r="R3826" s="11"/>
      <c r="S3826" s="11"/>
    </row>
    <row r="3827" spans="1:19" s="9" customFormat="1" x14ac:dyDescent="0.25">
      <c r="A3827" s="10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  <c r="Q3827" s="11"/>
      <c r="R3827" s="11"/>
      <c r="S3827" s="11"/>
    </row>
    <row r="3828" spans="1:19" s="9" customFormat="1" x14ac:dyDescent="0.25">
      <c r="A3828" s="10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  <c r="Q3828" s="11"/>
      <c r="R3828" s="11"/>
      <c r="S3828" s="11"/>
    </row>
    <row r="3829" spans="1:19" s="9" customFormat="1" x14ac:dyDescent="0.25">
      <c r="A3829" s="10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  <c r="Q3829" s="11"/>
      <c r="R3829" s="11"/>
      <c r="S3829" s="11"/>
    </row>
    <row r="3830" spans="1:19" s="9" customFormat="1" x14ac:dyDescent="0.25">
      <c r="A3830" s="10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  <c r="Q3830" s="11"/>
      <c r="R3830" s="11"/>
      <c r="S3830" s="11"/>
    </row>
    <row r="3831" spans="1:19" s="9" customFormat="1" x14ac:dyDescent="0.25">
      <c r="A3831" s="10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  <c r="Q3831" s="11"/>
      <c r="R3831" s="11"/>
      <c r="S3831" s="11"/>
    </row>
    <row r="3832" spans="1:19" s="9" customFormat="1" x14ac:dyDescent="0.25">
      <c r="A3832" s="10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  <c r="Q3832" s="11"/>
      <c r="R3832" s="11"/>
      <c r="S3832" s="11"/>
    </row>
    <row r="3833" spans="1:19" s="9" customFormat="1" x14ac:dyDescent="0.25">
      <c r="A3833" s="10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  <c r="Q3833" s="11"/>
      <c r="R3833" s="11"/>
      <c r="S3833" s="11"/>
    </row>
    <row r="3834" spans="1:19" s="9" customFormat="1" x14ac:dyDescent="0.25">
      <c r="A3834" s="10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  <c r="Q3834" s="11"/>
      <c r="R3834" s="11"/>
      <c r="S3834" s="11"/>
    </row>
    <row r="3835" spans="1:19" s="9" customFormat="1" x14ac:dyDescent="0.25">
      <c r="A3835" s="10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  <c r="Q3835" s="11"/>
      <c r="R3835" s="11"/>
      <c r="S3835" s="11"/>
    </row>
    <row r="3836" spans="1:19" s="9" customFormat="1" x14ac:dyDescent="0.25">
      <c r="A3836" s="10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  <c r="Q3836" s="11"/>
      <c r="R3836" s="11"/>
      <c r="S3836" s="11"/>
    </row>
    <row r="3837" spans="1:19" s="9" customFormat="1" x14ac:dyDescent="0.25">
      <c r="A3837" s="10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  <c r="Q3837" s="11"/>
      <c r="R3837" s="11"/>
      <c r="S3837" s="11"/>
    </row>
    <row r="3838" spans="1:19" s="9" customFormat="1" x14ac:dyDescent="0.25">
      <c r="A3838" s="10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  <c r="Q3838" s="11"/>
      <c r="R3838" s="11"/>
      <c r="S3838" s="11"/>
    </row>
    <row r="3839" spans="1:19" s="9" customFormat="1" x14ac:dyDescent="0.25">
      <c r="A3839" s="10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  <c r="Q3839" s="11"/>
      <c r="R3839" s="11"/>
      <c r="S3839" s="11"/>
    </row>
    <row r="3840" spans="1:19" s="9" customFormat="1" x14ac:dyDescent="0.25">
      <c r="A3840" s="10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  <c r="Q3840" s="11"/>
      <c r="R3840" s="11"/>
      <c r="S3840" s="11"/>
    </row>
    <row r="3841" spans="1:19" s="9" customFormat="1" x14ac:dyDescent="0.25">
      <c r="A3841" s="10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  <c r="Q3841" s="11"/>
      <c r="R3841" s="11"/>
      <c r="S3841" s="11"/>
    </row>
    <row r="3842" spans="1:19" s="9" customFormat="1" x14ac:dyDescent="0.25">
      <c r="A3842" s="10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  <c r="Q3842" s="11"/>
      <c r="R3842" s="11"/>
      <c r="S3842" s="11"/>
    </row>
    <row r="3843" spans="1:19" s="9" customFormat="1" x14ac:dyDescent="0.25">
      <c r="A3843" s="10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  <c r="Q3843" s="11"/>
      <c r="R3843" s="11"/>
      <c r="S3843" s="11"/>
    </row>
    <row r="3844" spans="1:19" s="9" customFormat="1" x14ac:dyDescent="0.25">
      <c r="A3844" s="10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  <c r="Q3844" s="11"/>
      <c r="R3844" s="11"/>
      <c r="S3844" s="11"/>
    </row>
    <row r="3845" spans="1:19" s="9" customFormat="1" x14ac:dyDescent="0.25">
      <c r="A3845" s="10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  <c r="Q3845" s="11"/>
      <c r="R3845" s="11"/>
      <c r="S3845" s="11"/>
    </row>
    <row r="3846" spans="1:19" s="9" customFormat="1" x14ac:dyDescent="0.25">
      <c r="A3846" s="10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  <c r="Q3846" s="11"/>
      <c r="R3846" s="11"/>
      <c r="S3846" s="11"/>
    </row>
    <row r="3847" spans="1:19" s="9" customFormat="1" x14ac:dyDescent="0.25">
      <c r="A3847" s="10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  <c r="Q3847" s="11"/>
      <c r="R3847" s="11"/>
      <c r="S3847" s="11"/>
    </row>
    <row r="3848" spans="1:19" s="9" customFormat="1" x14ac:dyDescent="0.25">
      <c r="A3848" s="10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  <c r="Q3848" s="11"/>
      <c r="R3848" s="11"/>
      <c r="S3848" s="11"/>
    </row>
    <row r="3849" spans="1:19" s="9" customFormat="1" x14ac:dyDescent="0.25">
      <c r="A3849" s="10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  <c r="Q3849" s="11"/>
      <c r="R3849" s="11"/>
      <c r="S3849" s="11"/>
    </row>
    <row r="3850" spans="1:19" s="9" customFormat="1" x14ac:dyDescent="0.25">
      <c r="A3850" s="10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  <c r="Q3850" s="11"/>
      <c r="R3850" s="11"/>
      <c r="S3850" s="11"/>
    </row>
    <row r="3851" spans="1:19" s="9" customFormat="1" x14ac:dyDescent="0.25">
      <c r="A3851" s="10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  <c r="Q3851" s="11"/>
      <c r="R3851" s="11"/>
      <c r="S3851" s="11"/>
    </row>
    <row r="3852" spans="1:19" s="9" customFormat="1" x14ac:dyDescent="0.25">
      <c r="A3852" s="10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  <c r="Q3852" s="11"/>
      <c r="R3852" s="11"/>
      <c r="S3852" s="11"/>
    </row>
    <row r="3853" spans="1:19" s="9" customFormat="1" x14ac:dyDescent="0.25">
      <c r="A3853" s="10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  <c r="Q3853" s="11"/>
      <c r="R3853" s="11"/>
      <c r="S3853" s="11"/>
    </row>
    <row r="3854" spans="1:19" s="9" customFormat="1" x14ac:dyDescent="0.25">
      <c r="A3854" s="10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  <c r="Q3854" s="11"/>
      <c r="R3854" s="11"/>
      <c r="S3854" s="11"/>
    </row>
    <row r="3855" spans="1:19" s="9" customFormat="1" x14ac:dyDescent="0.25">
      <c r="A3855" s="10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  <c r="Q3855" s="11"/>
      <c r="R3855" s="11"/>
      <c r="S3855" s="11"/>
    </row>
    <row r="3856" spans="1:19" s="9" customFormat="1" x14ac:dyDescent="0.25">
      <c r="A3856" s="10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  <c r="Q3856" s="11"/>
      <c r="R3856" s="11"/>
      <c r="S3856" s="11"/>
    </row>
    <row r="3857" spans="1:19" s="9" customFormat="1" x14ac:dyDescent="0.25">
      <c r="A3857" s="10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  <c r="Q3857" s="11"/>
      <c r="R3857" s="11"/>
      <c r="S3857" s="11"/>
    </row>
    <row r="3858" spans="1:19" s="9" customFormat="1" x14ac:dyDescent="0.25">
      <c r="A3858" s="10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  <c r="Q3858" s="11"/>
      <c r="R3858" s="11"/>
      <c r="S3858" s="11"/>
    </row>
    <row r="3859" spans="1:19" s="9" customFormat="1" x14ac:dyDescent="0.25">
      <c r="A3859" s="10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  <c r="Q3859" s="11"/>
      <c r="R3859" s="11"/>
      <c r="S3859" s="11"/>
    </row>
    <row r="3860" spans="1:19" s="9" customFormat="1" x14ac:dyDescent="0.25">
      <c r="A3860" s="10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  <c r="Q3860" s="11"/>
      <c r="R3860" s="11"/>
      <c r="S3860" s="11"/>
    </row>
    <row r="3861" spans="1:19" s="9" customFormat="1" x14ac:dyDescent="0.25">
      <c r="A3861" s="10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  <c r="Q3861" s="11"/>
      <c r="R3861" s="11"/>
      <c r="S3861" s="11"/>
    </row>
    <row r="3862" spans="1:19" s="9" customFormat="1" x14ac:dyDescent="0.25">
      <c r="A3862" s="10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  <c r="Q3862" s="11"/>
      <c r="R3862" s="11"/>
      <c r="S3862" s="11"/>
    </row>
    <row r="3863" spans="1:19" s="9" customFormat="1" x14ac:dyDescent="0.25">
      <c r="A3863" s="10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  <c r="Q3863" s="11"/>
      <c r="R3863" s="11"/>
      <c r="S3863" s="11"/>
    </row>
    <row r="3864" spans="1:19" s="9" customFormat="1" x14ac:dyDescent="0.25">
      <c r="A3864" s="10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  <c r="Q3864" s="11"/>
      <c r="R3864" s="11"/>
      <c r="S3864" s="11"/>
    </row>
    <row r="3865" spans="1:19" s="9" customFormat="1" x14ac:dyDescent="0.25">
      <c r="A3865" s="10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  <c r="Q3865" s="11"/>
      <c r="R3865" s="11"/>
      <c r="S3865" s="11"/>
    </row>
    <row r="3866" spans="1:19" s="9" customFormat="1" x14ac:dyDescent="0.25">
      <c r="A3866" s="10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  <c r="Q3866" s="11"/>
      <c r="R3866" s="11"/>
      <c r="S3866" s="11"/>
    </row>
    <row r="3867" spans="1:19" s="9" customFormat="1" x14ac:dyDescent="0.25">
      <c r="A3867" s="10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  <c r="Q3867" s="11"/>
      <c r="R3867" s="11"/>
      <c r="S3867" s="11"/>
    </row>
    <row r="3868" spans="1:19" s="9" customFormat="1" x14ac:dyDescent="0.25">
      <c r="A3868" s="10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  <c r="Q3868" s="11"/>
      <c r="R3868" s="11"/>
      <c r="S3868" s="11"/>
    </row>
    <row r="3869" spans="1:19" s="9" customFormat="1" x14ac:dyDescent="0.25">
      <c r="A3869" s="10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  <c r="Q3869" s="11"/>
      <c r="R3869" s="11"/>
      <c r="S3869" s="11"/>
    </row>
    <row r="3870" spans="1:19" s="9" customFormat="1" x14ac:dyDescent="0.25">
      <c r="A3870" s="10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  <c r="Q3870" s="11"/>
      <c r="R3870" s="11"/>
      <c r="S3870" s="11"/>
    </row>
    <row r="3871" spans="1:19" s="9" customFormat="1" x14ac:dyDescent="0.25">
      <c r="A3871" s="10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  <c r="Q3871" s="11"/>
      <c r="R3871" s="11"/>
      <c r="S3871" s="11"/>
    </row>
    <row r="3872" spans="1:19" s="9" customFormat="1" x14ac:dyDescent="0.25">
      <c r="A3872" s="10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  <c r="Q3872" s="11"/>
      <c r="R3872" s="11"/>
      <c r="S3872" s="11"/>
    </row>
    <row r="3873" spans="1:19" s="9" customFormat="1" x14ac:dyDescent="0.25">
      <c r="A3873" s="10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  <c r="Q3873" s="11"/>
      <c r="R3873" s="11"/>
      <c r="S3873" s="11"/>
    </row>
    <row r="3874" spans="1:19" s="9" customFormat="1" x14ac:dyDescent="0.25">
      <c r="A3874" s="10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  <c r="Q3874" s="11"/>
      <c r="R3874" s="11"/>
      <c r="S3874" s="11"/>
    </row>
    <row r="3875" spans="1:19" s="9" customFormat="1" x14ac:dyDescent="0.25">
      <c r="A3875" s="10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  <c r="Q3875" s="11"/>
      <c r="R3875" s="11"/>
      <c r="S3875" s="11"/>
    </row>
    <row r="3876" spans="1:19" s="9" customFormat="1" x14ac:dyDescent="0.25">
      <c r="A3876" s="10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  <c r="Q3876" s="11"/>
      <c r="R3876" s="11"/>
      <c r="S3876" s="11"/>
    </row>
    <row r="3877" spans="1:19" s="9" customFormat="1" x14ac:dyDescent="0.25">
      <c r="A3877" s="10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  <c r="Q3877" s="11"/>
      <c r="R3877" s="11"/>
      <c r="S3877" s="11"/>
    </row>
    <row r="3878" spans="1:19" s="9" customFormat="1" x14ac:dyDescent="0.25">
      <c r="A3878" s="10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  <c r="Q3878" s="11"/>
      <c r="R3878" s="11"/>
      <c r="S3878" s="11"/>
    </row>
    <row r="3879" spans="1:19" s="9" customFormat="1" x14ac:dyDescent="0.25">
      <c r="A3879" s="10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  <c r="Q3879" s="11"/>
      <c r="R3879" s="11"/>
      <c r="S3879" s="11"/>
    </row>
    <row r="3880" spans="1:19" s="9" customFormat="1" x14ac:dyDescent="0.25">
      <c r="A3880" s="10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  <c r="Q3880" s="11"/>
      <c r="R3880" s="11"/>
      <c r="S3880" s="11"/>
    </row>
    <row r="3881" spans="1:19" s="9" customFormat="1" x14ac:dyDescent="0.25">
      <c r="A3881" s="10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  <c r="Q3881" s="11"/>
      <c r="R3881" s="11"/>
      <c r="S3881" s="11"/>
    </row>
    <row r="3882" spans="1:19" s="9" customFormat="1" x14ac:dyDescent="0.25">
      <c r="A3882" s="10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  <c r="Q3882" s="11"/>
      <c r="R3882" s="11"/>
      <c r="S3882" s="11"/>
    </row>
    <row r="3883" spans="1:19" s="9" customFormat="1" x14ac:dyDescent="0.25">
      <c r="A3883" s="10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  <c r="Q3883" s="11"/>
      <c r="R3883" s="11"/>
      <c r="S3883" s="11"/>
    </row>
    <row r="3884" spans="1:19" s="9" customFormat="1" x14ac:dyDescent="0.25">
      <c r="A3884" s="10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  <c r="Q3884" s="11"/>
      <c r="R3884" s="11"/>
      <c r="S3884" s="11"/>
    </row>
    <row r="3885" spans="1:19" s="9" customFormat="1" x14ac:dyDescent="0.25">
      <c r="A3885" s="10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  <c r="Q3885" s="11"/>
      <c r="R3885" s="11"/>
      <c r="S3885" s="11"/>
    </row>
    <row r="3886" spans="1:19" s="9" customFormat="1" x14ac:dyDescent="0.25">
      <c r="A3886" s="10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  <c r="Q3886" s="11"/>
      <c r="R3886" s="11"/>
      <c r="S3886" s="11"/>
    </row>
    <row r="3887" spans="1:19" s="9" customFormat="1" x14ac:dyDescent="0.25">
      <c r="A3887" s="10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  <c r="Q3887" s="11"/>
      <c r="R3887" s="11"/>
      <c r="S3887" s="11"/>
    </row>
    <row r="3888" spans="1:19" s="9" customFormat="1" x14ac:dyDescent="0.25">
      <c r="A3888" s="10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  <c r="Q3888" s="11"/>
      <c r="R3888" s="11"/>
      <c r="S3888" s="11"/>
    </row>
    <row r="3889" spans="1:19" s="9" customFormat="1" x14ac:dyDescent="0.25">
      <c r="A3889" s="10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  <c r="Q3889" s="11"/>
      <c r="R3889" s="11"/>
      <c r="S3889" s="11"/>
    </row>
    <row r="3890" spans="1:19" s="9" customFormat="1" x14ac:dyDescent="0.25">
      <c r="A3890" s="10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  <c r="Q3890" s="11"/>
      <c r="R3890" s="11"/>
      <c r="S3890" s="11"/>
    </row>
    <row r="3891" spans="1:19" s="9" customFormat="1" x14ac:dyDescent="0.25">
      <c r="A3891" s="10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  <c r="Q3891" s="11"/>
      <c r="R3891" s="11"/>
      <c r="S3891" s="11"/>
    </row>
    <row r="3892" spans="1:19" s="9" customFormat="1" x14ac:dyDescent="0.25">
      <c r="A3892" s="10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  <c r="Q3892" s="11"/>
      <c r="R3892" s="11"/>
      <c r="S3892" s="11"/>
    </row>
    <row r="3893" spans="1:19" s="9" customFormat="1" x14ac:dyDescent="0.25">
      <c r="A3893" s="10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  <c r="Q3893" s="11"/>
      <c r="R3893" s="11"/>
      <c r="S3893" s="11"/>
    </row>
    <row r="3894" spans="1:19" s="9" customFormat="1" x14ac:dyDescent="0.25">
      <c r="A3894" s="10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  <c r="Q3894" s="11"/>
      <c r="R3894" s="11"/>
      <c r="S3894" s="11"/>
    </row>
    <row r="3895" spans="1:19" s="9" customFormat="1" x14ac:dyDescent="0.25">
      <c r="A3895" s="10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  <c r="Q3895" s="11"/>
      <c r="R3895" s="11"/>
      <c r="S3895" s="11"/>
    </row>
    <row r="3896" spans="1:19" s="9" customFormat="1" x14ac:dyDescent="0.25">
      <c r="A3896" s="10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  <c r="Q3896" s="11"/>
      <c r="R3896" s="11"/>
      <c r="S3896" s="11"/>
    </row>
    <row r="3897" spans="1:19" s="9" customFormat="1" x14ac:dyDescent="0.25">
      <c r="A3897" s="10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  <c r="Q3897" s="11"/>
      <c r="R3897" s="11"/>
      <c r="S3897" s="11"/>
    </row>
    <row r="3898" spans="1:19" s="9" customFormat="1" x14ac:dyDescent="0.25">
      <c r="A3898" s="10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  <c r="Q3898" s="11"/>
      <c r="R3898" s="11"/>
      <c r="S3898" s="11"/>
    </row>
    <row r="3899" spans="1:19" s="9" customFormat="1" x14ac:dyDescent="0.25">
      <c r="A3899" s="10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  <c r="Q3899" s="11"/>
      <c r="R3899" s="11"/>
      <c r="S3899" s="11"/>
    </row>
    <row r="3900" spans="1:19" s="9" customFormat="1" x14ac:dyDescent="0.25">
      <c r="A3900" s="10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  <c r="Q3900" s="11"/>
      <c r="R3900" s="11"/>
      <c r="S3900" s="11"/>
    </row>
    <row r="3901" spans="1:19" s="9" customFormat="1" x14ac:dyDescent="0.25">
      <c r="A3901" s="10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  <c r="Q3901" s="11"/>
      <c r="R3901" s="11"/>
      <c r="S3901" s="11"/>
    </row>
    <row r="3902" spans="1:19" s="9" customFormat="1" x14ac:dyDescent="0.25">
      <c r="A3902" s="10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  <c r="Q3902" s="11"/>
      <c r="R3902" s="11"/>
      <c r="S3902" s="11"/>
    </row>
    <row r="3903" spans="1:19" s="9" customFormat="1" x14ac:dyDescent="0.25">
      <c r="A3903" s="10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  <c r="Q3903" s="11"/>
      <c r="R3903" s="11"/>
      <c r="S3903" s="11"/>
    </row>
    <row r="3904" spans="1:19" s="9" customFormat="1" x14ac:dyDescent="0.25">
      <c r="A3904" s="10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  <c r="Q3904" s="11"/>
      <c r="R3904" s="11"/>
      <c r="S3904" s="11"/>
    </row>
    <row r="3905" spans="1:19" s="9" customFormat="1" x14ac:dyDescent="0.25">
      <c r="A3905" s="10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  <c r="Q3905" s="11"/>
      <c r="R3905" s="11"/>
      <c r="S3905" s="11"/>
    </row>
    <row r="3906" spans="1:19" s="9" customFormat="1" x14ac:dyDescent="0.25">
      <c r="A3906" s="10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  <c r="Q3906" s="11"/>
      <c r="R3906" s="11"/>
      <c r="S3906" s="11"/>
    </row>
    <row r="3907" spans="1:19" s="9" customFormat="1" x14ac:dyDescent="0.25">
      <c r="A3907" s="10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  <c r="Q3907" s="11"/>
      <c r="R3907" s="11"/>
      <c r="S3907" s="11"/>
    </row>
    <row r="3908" spans="1:19" s="9" customFormat="1" x14ac:dyDescent="0.25">
      <c r="A3908" s="10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  <c r="Q3908" s="11"/>
      <c r="R3908" s="11"/>
      <c r="S3908" s="11"/>
    </row>
    <row r="3909" spans="1:19" s="9" customFormat="1" x14ac:dyDescent="0.25">
      <c r="A3909" s="10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  <c r="Q3909" s="11"/>
      <c r="R3909" s="11"/>
      <c r="S3909" s="11"/>
    </row>
    <row r="3910" spans="1:19" s="9" customFormat="1" x14ac:dyDescent="0.25">
      <c r="A3910" s="10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  <c r="Q3910" s="11"/>
      <c r="R3910" s="11"/>
      <c r="S3910" s="11"/>
    </row>
    <row r="3911" spans="1:19" s="9" customFormat="1" x14ac:dyDescent="0.25">
      <c r="A3911" s="10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  <c r="Q3911" s="11"/>
      <c r="R3911" s="11"/>
      <c r="S3911" s="11"/>
    </row>
    <row r="3912" spans="1:19" s="9" customFormat="1" x14ac:dyDescent="0.25">
      <c r="A3912" s="10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  <c r="Q3912" s="11"/>
      <c r="R3912" s="11"/>
      <c r="S3912" s="11"/>
    </row>
    <row r="3913" spans="1:19" s="9" customFormat="1" x14ac:dyDescent="0.25">
      <c r="A3913" s="10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  <c r="Q3913" s="11"/>
      <c r="R3913" s="11"/>
      <c r="S3913" s="11"/>
    </row>
    <row r="3914" spans="1:19" s="9" customFormat="1" x14ac:dyDescent="0.25">
      <c r="A3914" s="10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  <c r="Q3914" s="11"/>
      <c r="R3914" s="11"/>
      <c r="S3914" s="11"/>
    </row>
    <row r="3915" spans="1:19" s="9" customFormat="1" x14ac:dyDescent="0.25">
      <c r="A3915" s="10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  <c r="Q3915" s="11"/>
      <c r="R3915" s="11"/>
      <c r="S3915" s="11"/>
    </row>
    <row r="3916" spans="1:19" s="9" customFormat="1" x14ac:dyDescent="0.25">
      <c r="A3916" s="10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  <c r="Q3916" s="11"/>
      <c r="R3916" s="11"/>
      <c r="S3916" s="11"/>
    </row>
    <row r="3917" spans="1:19" s="9" customFormat="1" x14ac:dyDescent="0.25">
      <c r="A3917" s="10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  <c r="Q3917" s="11"/>
      <c r="R3917" s="11"/>
      <c r="S3917" s="11"/>
    </row>
    <row r="3918" spans="1:19" s="9" customFormat="1" x14ac:dyDescent="0.25">
      <c r="A3918" s="10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  <c r="Q3918" s="11"/>
      <c r="R3918" s="11"/>
      <c r="S3918" s="11"/>
    </row>
    <row r="3919" spans="1:19" s="9" customFormat="1" x14ac:dyDescent="0.25">
      <c r="A3919" s="10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  <c r="Q3919" s="11"/>
      <c r="R3919" s="11"/>
      <c r="S3919" s="11"/>
    </row>
    <row r="3920" spans="1:19" s="9" customFormat="1" x14ac:dyDescent="0.25">
      <c r="A3920" s="10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  <c r="Q3920" s="11"/>
      <c r="R3920" s="11"/>
      <c r="S3920" s="11"/>
    </row>
    <row r="3921" spans="1:19" s="9" customFormat="1" x14ac:dyDescent="0.25">
      <c r="A3921" s="10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  <c r="Q3921" s="11"/>
      <c r="R3921" s="11"/>
      <c r="S3921" s="11"/>
    </row>
    <row r="3922" spans="1:19" s="9" customFormat="1" x14ac:dyDescent="0.25">
      <c r="A3922" s="10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  <c r="Q3922" s="11"/>
      <c r="R3922" s="11"/>
      <c r="S3922" s="11"/>
    </row>
    <row r="3923" spans="1:19" s="9" customFormat="1" x14ac:dyDescent="0.25">
      <c r="A3923" s="10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  <c r="Q3923" s="11"/>
      <c r="R3923" s="11"/>
      <c r="S3923" s="11"/>
    </row>
    <row r="3924" spans="1:19" s="9" customFormat="1" x14ac:dyDescent="0.25">
      <c r="A3924" s="10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  <c r="Q3924" s="11"/>
      <c r="R3924" s="11"/>
      <c r="S3924" s="11"/>
    </row>
    <row r="3925" spans="1:19" s="9" customFormat="1" x14ac:dyDescent="0.25">
      <c r="A3925" s="10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  <c r="Q3925" s="11"/>
      <c r="R3925" s="11"/>
      <c r="S3925" s="11"/>
    </row>
    <row r="3926" spans="1:19" s="9" customFormat="1" x14ac:dyDescent="0.25">
      <c r="A3926" s="10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  <c r="Q3926" s="11"/>
      <c r="R3926" s="11"/>
      <c r="S3926" s="11"/>
    </row>
    <row r="3927" spans="1:19" s="9" customFormat="1" x14ac:dyDescent="0.25">
      <c r="A3927" s="10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  <c r="Q3927" s="11"/>
      <c r="R3927" s="11"/>
      <c r="S3927" s="11"/>
    </row>
    <row r="3928" spans="1:19" s="9" customFormat="1" x14ac:dyDescent="0.25">
      <c r="A3928" s="10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  <c r="Q3928" s="11"/>
      <c r="R3928" s="11"/>
      <c r="S3928" s="11"/>
    </row>
    <row r="3929" spans="1:19" s="9" customFormat="1" x14ac:dyDescent="0.25">
      <c r="A3929" s="10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  <c r="Q3929" s="11"/>
      <c r="R3929" s="11"/>
      <c r="S3929" s="11"/>
    </row>
    <row r="3930" spans="1:19" s="9" customFormat="1" x14ac:dyDescent="0.25">
      <c r="A3930" s="10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  <c r="Q3930" s="11"/>
      <c r="R3930" s="11"/>
      <c r="S3930" s="11"/>
    </row>
    <row r="3931" spans="1:19" s="9" customFormat="1" x14ac:dyDescent="0.25">
      <c r="A3931" s="10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  <c r="Q3931" s="11"/>
      <c r="R3931" s="11"/>
      <c r="S3931" s="11"/>
    </row>
    <row r="3932" spans="1:19" s="9" customFormat="1" x14ac:dyDescent="0.25">
      <c r="A3932" s="10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  <c r="Q3932" s="11"/>
      <c r="R3932" s="11"/>
      <c r="S3932" s="11"/>
    </row>
    <row r="3933" spans="1:19" s="9" customFormat="1" x14ac:dyDescent="0.25">
      <c r="A3933" s="10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  <c r="Q3933" s="11"/>
      <c r="R3933" s="11"/>
      <c r="S3933" s="11"/>
    </row>
    <row r="3934" spans="1:19" s="9" customFormat="1" x14ac:dyDescent="0.25">
      <c r="A3934" s="10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  <c r="Q3934" s="11"/>
      <c r="R3934" s="11"/>
      <c r="S3934" s="11"/>
    </row>
    <row r="3935" spans="1:19" s="9" customFormat="1" x14ac:dyDescent="0.25">
      <c r="A3935" s="10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  <c r="Q3935" s="11"/>
      <c r="R3935" s="11"/>
      <c r="S3935" s="11"/>
    </row>
    <row r="3936" spans="1:19" s="9" customFormat="1" x14ac:dyDescent="0.25">
      <c r="A3936" s="10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  <c r="Q3936" s="11"/>
      <c r="R3936" s="11"/>
      <c r="S3936" s="11"/>
    </row>
    <row r="3937" spans="1:19" s="9" customFormat="1" x14ac:dyDescent="0.25">
      <c r="A3937" s="10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  <c r="Q3937" s="11"/>
      <c r="R3937" s="11"/>
      <c r="S3937" s="11"/>
    </row>
    <row r="3938" spans="1:19" s="9" customFormat="1" x14ac:dyDescent="0.25">
      <c r="A3938" s="10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  <c r="Q3938" s="11"/>
      <c r="R3938" s="11"/>
      <c r="S3938" s="11"/>
    </row>
    <row r="3939" spans="1:19" s="9" customFormat="1" x14ac:dyDescent="0.25">
      <c r="A3939" s="10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  <c r="Q3939" s="11"/>
      <c r="R3939" s="11"/>
      <c r="S3939" s="11"/>
    </row>
    <row r="3940" spans="1:19" s="9" customFormat="1" x14ac:dyDescent="0.25">
      <c r="A3940" s="10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  <c r="Q3940" s="11"/>
      <c r="R3940" s="11"/>
      <c r="S3940" s="11"/>
    </row>
    <row r="3941" spans="1:19" s="9" customFormat="1" x14ac:dyDescent="0.25">
      <c r="A3941" s="10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  <c r="Q3941" s="11"/>
      <c r="R3941" s="11"/>
      <c r="S3941" s="11"/>
    </row>
    <row r="3942" spans="1:19" s="9" customFormat="1" x14ac:dyDescent="0.25">
      <c r="A3942" s="10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  <c r="Q3942" s="11"/>
      <c r="R3942" s="11"/>
      <c r="S3942" s="11"/>
    </row>
    <row r="3943" spans="1:19" s="9" customFormat="1" x14ac:dyDescent="0.25">
      <c r="A3943" s="10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  <c r="Q3943" s="11"/>
      <c r="R3943" s="11"/>
      <c r="S3943" s="11"/>
    </row>
    <row r="3944" spans="1:19" s="9" customFormat="1" x14ac:dyDescent="0.25">
      <c r="A3944" s="10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  <c r="Q3944" s="11"/>
      <c r="R3944" s="11"/>
      <c r="S3944" s="11"/>
    </row>
    <row r="3945" spans="1:19" s="9" customFormat="1" x14ac:dyDescent="0.25">
      <c r="A3945" s="10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  <c r="Q3945" s="11"/>
      <c r="R3945" s="11"/>
      <c r="S3945" s="11"/>
    </row>
    <row r="3946" spans="1:19" s="9" customFormat="1" x14ac:dyDescent="0.25">
      <c r="A3946" s="10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  <c r="Q3946" s="11"/>
      <c r="R3946" s="11"/>
      <c r="S3946" s="11"/>
    </row>
    <row r="3947" spans="1:19" s="9" customFormat="1" x14ac:dyDescent="0.25">
      <c r="A3947" s="10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  <c r="Q3947" s="11"/>
      <c r="R3947" s="11"/>
      <c r="S3947" s="11"/>
    </row>
    <row r="3948" spans="1:19" s="9" customFormat="1" x14ac:dyDescent="0.25">
      <c r="A3948" s="10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  <c r="Q3948" s="11"/>
      <c r="R3948" s="11"/>
      <c r="S3948" s="11"/>
    </row>
    <row r="3949" spans="1:19" s="9" customFormat="1" x14ac:dyDescent="0.25">
      <c r="A3949" s="10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  <c r="Q3949" s="11"/>
      <c r="R3949" s="11"/>
      <c r="S3949" s="11"/>
    </row>
    <row r="3950" spans="1:19" s="9" customFormat="1" x14ac:dyDescent="0.25">
      <c r="A3950" s="10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  <c r="Q3950" s="11"/>
      <c r="R3950" s="11"/>
      <c r="S3950" s="11"/>
    </row>
    <row r="3951" spans="1:19" s="9" customFormat="1" x14ac:dyDescent="0.25">
      <c r="A3951" s="10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  <c r="Q3951" s="11"/>
      <c r="R3951" s="11"/>
      <c r="S3951" s="11"/>
    </row>
    <row r="3952" spans="1:19" s="9" customFormat="1" x14ac:dyDescent="0.25">
      <c r="A3952" s="10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  <c r="Q3952" s="11"/>
      <c r="R3952" s="11"/>
      <c r="S3952" s="11"/>
    </row>
    <row r="3953" spans="1:19" s="9" customFormat="1" x14ac:dyDescent="0.25">
      <c r="A3953" s="10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  <c r="Q3953" s="11"/>
      <c r="R3953" s="11"/>
      <c r="S3953" s="11"/>
    </row>
    <row r="3954" spans="1:19" s="9" customFormat="1" x14ac:dyDescent="0.25">
      <c r="A3954" s="10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  <c r="Q3954" s="11"/>
      <c r="R3954" s="11"/>
      <c r="S3954" s="11"/>
    </row>
    <row r="3955" spans="1:19" s="9" customFormat="1" x14ac:dyDescent="0.25">
      <c r="A3955" s="10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  <c r="Q3955" s="11"/>
      <c r="R3955" s="11"/>
      <c r="S3955" s="11"/>
    </row>
    <row r="3956" spans="1:19" s="9" customFormat="1" x14ac:dyDescent="0.25">
      <c r="A3956" s="10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  <c r="Q3956" s="11"/>
      <c r="R3956" s="11"/>
      <c r="S3956" s="11"/>
    </row>
    <row r="3957" spans="1:19" s="9" customFormat="1" x14ac:dyDescent="0.25">
      <c r="A3957" s="10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  <c r="Q3957" s="11"/>
      <c r="R3957" s="11"/>
      <c r="S3957" s="11"/>
    </row>
    <row r="3958" spans="1:19" s="9" customFormat="1" x14ac:dyDescent="0.25">
      <c r="A3958" s="10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  <c r="Q3958" s="11"/>
      <c r="R3958" s="11"/>
      <c r="S3958" s="11"/>
    </row>
    <row r="3959" spans="1:19" s="9" customFormat="1" x14ac:dyDescent="0.25">
      <c r="A3959" s="10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  <c r="Q3959" s="11"/>
      <c r="R3959" s="11"/>
      <c r="S3959" s="11"/>
    </row>
    <row r="3960" spans="1:19" s="9" customFormat="1" x14ac:dyDescent="0.25">
      <c r="A3960" s="10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  <c r="Q3960" s="11"/>
      <c r="R3960" s="11"/>
      <c r="S3960" s="11"/>
    </row>
    <row r="3961" spans="1:19" s="9" customFormat="1" x14ac:dyDescent="0.25">
      <c r="A3961" s="10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  <c r="Q3961" s="11"/>
      <c r="R3961" s="11"/>
      <c r="S3961" s="11"/>
    </row>
    <row r="3962" spans="1:19" s="9" customFormat="1" x14ac:dyDescent="0.25">
      <c r="A3962" s="10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  <c r="Q3962" s="11"/>
      <c r="R3962" s="11"/>
      <c r="S3962" s="11"/>
    </row>
    <row r="3963" spans="1:19" s="9" customFormat="1" x14ac:dyDescent="0.25">
      <c r="A3963" s="10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  <c r="Q3963" s="11"/>
      <c r="R3963" s="11"/>
      <c r="S3963" s="11"/>
    </row>
    <row r="3964" spans="1:19" s="9" customFormat="1" x14ac:dyDescent="0.25">
      <c r="A3964" s="10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  <c r="Q3964" s="11"/>
      <c r="R3964" s="11"/>
      <c r="S3964" s="11"/>
    </row>
    <row r="3965" spans="1:19" s="9" customFormat="1" x14ac:dyDescent="0.25">
      <c r="A3965" s="10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  <c r="Q3965" s="11"/>
      <c r="R3965" s="11"/>
      <c r="S3965" s="11"/>
    </row>
    <row r="3966" spans="1:19" s="9" customFormat="1" x14ac:dyDescent="0.25">
      <c r="A3966" s="10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  <c r="Q3966" s="11"/>
      <c r="R3966" s="11"/>
      <c r="S3966" s="11"/>
    </row>
    <row r="3967" spans="1:19" s="9" customFormat="1" x14ac:dyDescent="0.25">
      <c r="A3967" s="10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  <c r="Q3967" s="11"/>
      <c r="R3967" s="11"/>
      <c r="S3967" s="11"/>
    </row>
    <row r="3968" spans="1:19" s="9" customFormat="1" x14ac:dyDescent="0.25">
      <c r="A3968" s="10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  <c r="Q3968" s="11"/>
      <c r="R3968" s="11"/>
      <c r="S3968" s="11"/>
    </row>
    <row r="3969" spans="1:19" s="9" customFormat="1" x14ac:dyDescent="0.25">
      <c r="A3969" s="10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  <c r="Q3969" s="11"/>
      <c r="R3969" s="11"/>
      <c r="S3969" s="11"/>
    </row>
    <row r="3970" spans="1:19" s="9" customFormat="1" x14ac:dyDescent="0.25">
      <c r="A3970" s="10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  <c r="Q3970" s="11"/>
      <c r="R3970" s="11"/>
      <c r="S3970" s="11"/>
    </row>
    <row r="3971" spans="1:19" s="9" customFormat="1" x14ac:dyDescent="0.25">
      <c r="A3971" s="10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  <c r="Q3971" s="11"/>
      <c r="R3971" s="11"/>
      <c r="S3971" s="11"/>
    </row>
    <row r="3972" spans="1:19" s="9" customFormat="1" x14ac:dyDescent="0.25">
      <c r="A3972" s="10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  <c r="Q3972" s="11"/>
      <c r="R3972" s="11"/>
      <c r="S3972" s="11"/>
    </row>
    <row r="3973" spans="1:19" s="9" customFormat="1" x14ac:dyDescent="0.25">
      <c r="A3973" s="10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  <c r="Q3973" s="11"/>
      <c r="R3973" s="11"/>
      <c r="S3973" s="11"/>
    </row>
    <row r="3974" spans="1:19" s="9" customFormat="1" x14ac:dyDescent="0.25">
      <c r="A3974" s="10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  <c r="Q3974" s="11"/>
      <c r="R3974" s="11"/>
      <c r="S3974" s="11"/>
    </row>
    <row r="3975" spans="1:19" s="9" customFormat="1" x14ac:dyDescent="0.25">
      <c r="A3975" s="10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  <c r="Q3975" s="11"/>
      <c r="R3975" s="11"/>
      <c r="S3975" s="11"/>
    </row>
    <row r="3976" spans="1:19" s="9" customFormat="1" x14ac:dyDescent="0.25">
      <c r="A3976" s="10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  <c r="Q3976" s="11"/>
      <c r="R3976" s="11"/>
      <c r="S3976" s="11"/>
    </row>
    <row r="3977" spans="1:19" s="9" customFormat="1" x14ac:dyDescent="0.25">
      <c r="A3977" s="10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  <c r="Q3977" s="11"/>
      <c r="R3977" s="11"/>
      <c r="S3977" s="11"/>
    </row>
    <row r="3978" spans="1:19" s="9" customFormat="1" x14ac:dyDescent="0.25">
      <c r="A3978" s="10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  <c r="Q3978" s="11"/>
      <c r="R3978" s="11"/>
      <c r="S3978" s="11"/>
    </row>
    <row r="3979" spans="1:19" s="9" customFormat="1" x14ac:dyDescent="0.25">
      <c r="A3979" s="10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  <c r="Q3979" s="11"/>
      <c r="R3979" s="11"/>
      <c r="S3979" s="11"/>
    </row>
    <row r="3980" spans="1:19" s="9" customFormat="1" x14ac:dyDescent="0.25">
      <c r="A3980" s="10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  <c r="Q3980" s="11"/>
      <c r="R3980" s="11"/>
      <c r="S3980" s="11"/>
    </row>
    <row r="3981" spans="1:19" s="9" customFormat="1" x14ac:dyDescent="0.25">
      <c r="A3981" s="10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  <c r="Q3981" s="11"/>
      <c r="R3981" s="11"/>
      <c r="S3981" s="11"/>
    </row>
    <row r="3982" spans="1:19" s="9" customFormat="1" x14ac:dyDescent="0.25">
      <c r="A3982" s="10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  <c r="Q3982" s="11"/>
      <c r="R3982" s="11"/>
      <c r="S3982" s="11"/>
    </row>
    <row r="3983" spans="1:19" s="9" customFormat="1" x14ac:dyDescent="0.25">
      <c r="A3983" s="10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  <c r="Q3983" s="11"/>
      <c r="R3983" s="11"/>
      <c r="S3983" s="11"/>
    </row>
    <row r="3984" spans="1:19" s="9" customFormat="1" x14ac:dyDescent="0.25">
      <c r="A3984" s="10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  <c r="Q3984" s="11"/>
      <c r="R3984" s="11"/>
      <c r="S3984" s="11"/>
    </row>
    <row r="3985" spans="1:19" s="9" customFormat="1" x14ac:dyDescent="0.25">
      <c r="A3985" s="10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  <c r="Q3985" s="11"/>
      <c r="R3985" s="11"/>
      <c r="S3985" s="11"/>
    </row>
    <row r="3986" spans="1:19" s="9" customFormat="1" x14ac:dyDescent="0.25">
      <c r="A3986" s="10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  <c r="Q3986" s="11"/>
      <c r="R3986" s="11"/>
      <c r="S3986" s="11"/>
    </row>
    <row r="3987" spans="1:19" s="9" customFormat="1" x14ac:dyDescent="0.25">
      <c r="A3987" s="10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  <c r="Q3987" s="11"/>
      <c r="R3987" s="11"/>
      <c r="S3987" s="11"/>
    </row>
    <row r="3988" spans="1:19" s="9" customFormat="1" x14ac:dyDescent="0.25">
      <c r="A3988" s="10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  <c r="Q3988" s="11"/>
      <c r="R3988" s="11"/>
      <c r="S3988" s="11"/>
    </row>
    <row r="3989" spans="1:19" s="9" customFormat="1" x14ac:dyDescent="0.25">
      <c r="A3989" s="10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  <c r="Q3989" s="11"/>
      <c r="R3989" s="11"/>
      <c r="S3989" s="11"/>
    </row>
    <row r="3990" spans="1:19" s="9" customFormat="1" x14ac:dyDescent="0.25">
      <c r="A3990" s="10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  <c r="Q3990" s="11"/>
      <c r="R3990" s="11"/>
      <c r="S3990" s="11"/>
    </row>
    <row r="3991" spans="1:19" s="9" customFormat="1" x14ac:dyDescent="0.25">
      <c r="A3991" s="10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  <c r="Q3991" s="11"/>
      <c r="R3991" s="11"/>
      <c r="S3991" s="11"/>
    </row>
    <row r="3992" spans="1:19" s="9" customFormat="1" x14ac:dyDescent="0.25">
      <c r="A3992" s="10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  <c r="Q3992" s="11"/>
      <c r="R3992" s="11"/>
      <c r="S3992" s="11"/>
    </row>
    <row r="3993" spans="1:19" s="9" customFormat="1" x14ac:dyDescent="0.25">
      <c r="A3993" s="10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  <c r="Q3993" s="11"/>
      <c r="R3993" s="11"/>
      <c r="S3993" s="11"/>
    </row>
    <row r="3994" spans="1:19" s="9" customFormat="1" x14ac:dyDescent="0.25">
      <c r="A3994" s="10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  <c r="Q3994" s="11"/>
      <c r="R3994" s="11"/>
      <c r="S3994" s="11"/>
    </row>
    <row r="3995" spans="1:19" s="9" customFormat="1" x14ac:dyDescent="0.25">
      <c r="A3995" s="10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  <c r="Q3995" s="11"/>
      <c r="R3995" s="11"/>
      <c r="S3995" s="11"/>
    </row>
    <row r="3996" spans="1:19" s="9" customFormat="1" x14ac:dyDescent="0.25">
      <c r="A3996" s="10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  <c r="Q3996" s="11"/>
      <c r="R3996" s="11"/>
      <c r="S3996" s="11"/>
    </row>
    <row r="3997" spans="1:19" s="9" customFormat="1" x14ac:dyDescent="0.25">
      <c r="A3997" s="10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  <c r="Q3997" s="11"/>
      <c r="R3997" s="11"/>
      <c r="S3997" s="11"/>
    </row>
    <row r="3998" spans="1:19" s="9" customFormat="1" x14ac:dyDescent="0.25">
      <c r="A3998" s="10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  <c r="Q3998" s="11"/>
      <c r="R3998" s="11"/>
      <c r="S3998" s="11"/>
    </row>
    <row r="3999" spans="1:19" s="9" customFormat="1" x14ac:dyDescent="0.25">
      <c r="A3999" s="10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  <c r="Q3999" s="11"/>
      <c r="R3999" s="11"/>
      <c r="S3999" s="11"/>
    </row>
    <row r="4000" spans="1:19" s="9" customFormat="1" x14ac:dyDescent="0.25">
      <c r="A4000" s="10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  <c r="Q4000" s="11"/>
      <c r="R4000" s="11"/>
      <c r="S4000" s="11"/>
    </row>
    <row r="4001" spans="1:19" s="9" customFormat="1" x14ac:dyDescent="0.25">
      <c r="A4001" s="10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  <c r="Q4001" s="11"/>
      <c r="R4001" s="11"/>
      <c r="S4001" s="11"/>
    </row>
    <row r="4002" spans="1:19" s="9" customFormat="1" x14ac:dyDescent="0.25">
      <c r="A4002" s="10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  <c r="Q4002" s="11"/>
      <c r="R4002" s="11"/>
      <c r="S4002" s="11"/>
    </row>
    <row r="4003" spans="1:19" s="9" customFormat="1" x14ac:dyDescent="0.25">
      <c r="A4003" s="10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  <c r="Q4003" s="11"/>
      <c r="R4003" s="11"/>
      <c r="S4003" s="11"/>
    </row>
    <row r="4004" spans="1:19" s="9" customFormat="1" x14ac:dyDescent="0.25">
      <c r="A4004" s="10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  <c r="Q4004" s="11"/>
      <c r="R4004" s="11"/>
      <c r="S4004" s="11"/>
    </row>
    <row r="4005" spans="1:19" s="9" customFormat="1" x14ac:dyDescent="0.25">
      <c r="A4005" s="10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  <c r="Q4005" s="11"/>
      <c r="R4005" s="11"/>
      <c r="S4005" s="11"/>
    </row>
    <row r="4006" spans="1:19" s="9" customFormat="1" x14ac:dyDescent="0.25">
      <c r="A4006" s="10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  <c r="Q4006" s="11"/>
      <c r="R4006" s="11"/>
      <c r="S4006" s="11"/>
    </row>
    <row r="4007" spans="1:19" s="9" customFormat="1" x14ac:dyDescent="0.25">
      <c r="A4007" s="10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  <c r="Q4007" s="11"/>
      <c r="R4007" s="11"/>
      <c r="S4007" s="11"/>
    </row>
    <row r="4008" spans="1:19" s="9" customFormat="1" x14ac:dyDescent="0.25">
      <c r="A4008" s="10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  <c r="Q4008" s="11"/>
      <c r="R4008" s="11"/>
      <c r="S4008" s="11"/>
    </row>
    <row r="4009" spans="1:19" s="9" customFormat="1" x14ac:dyDescent="0.25">
      <c r="A4009" s="10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  <c r="Q4009" s="11"/>
      <c r="R4009" s="11"/>
      <c r="S4009" s="11"/>
    </row>
    <row r="4010" spans="1:19" s="9" customFormat="1" x14ac:dyDescent="0.25">
      <c r="A4010" s="10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  <c r="Q4010" s="11"/>
      <c r="R4010" s="11"/>
      <c r="S4010" s="11"/>
    </row>
    <row r="4011" spans="1:19" s="9" customFormat="1" x14ac:dyDescent="0.25">
      <c r="A4011" s="10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  <c r="Q4011" s="11"/>
      <c r="R4011" s="11"/>
      <c r="S4011" s="11"/>
    </row>
    <row r="4012" spans="1:19" s="9" customFormat="1" x14ac:dyDescent="0.25">
      <c r="A4012" s="10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  <c r="Q4012" s="11"/>
      <c r="R4012" s="11"/>
      <c r="S4012" s="11"/>
    </row>
    <row r="4013" spans="1:19" s="9" customFormat="1" x14ac:dyDescent="0.25">
      <c r="A4013" s="10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  <c r="Q4013" s="11"/>
      <c r="R4013" s="11"/>
      <c r="S4013" s="11"/>
    </row>
    <row r="4014" spans="1:19" s="9" customFormat="1" x14ac:dyDescent="0.25">
      <c r="A4014" s="10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  <c r="Q4014" s="11"/>
      <c r="R4014" s="11"/>
      <c r="S4014" s="11"/>
    </row>
    <row r="4015" spans="1:19" s="9" customFormat="1" x14ac:dyDescent="0.25">
      <c r="A4015" s="10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  <c r="Q4015" s="11"/>
      <c r="R4015" s="11"/>
      <c r="S4015" s="11"/>
    </row>
    <row r="4016" spans="1:19" s="9" customFormat="1" x14ac:dyDescent="0.25">
      <c r="A4016" s="10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  <c r="Q4016" s="11"/>
      <c r="R4016" s="11"/>
      <c r="S4016" s="11"/>
    </row>
    <row r="4017" spans="1:19" s="9" customFormat="1" x14ac:dyDescent="0.25">
      <c r="A4017" s="10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  <c r="Q4017" s="11"/>
      <c r="R4017" s="11"/>
      <c r="S4017" s="11"/>
    </row>
    <row r="4018" spans="1:19" s="9" customFormat="1" x14ac:dyDescent="0.25">
      <c r="A4018" s="10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  <c r="Q4018" s="11"/>
      <c r="R4018" s="11"/>
      <c r="S4018" s="11"/>
    </row>
    <row r="4019" spans="1:19" s="9" customFormat="1" x14ac:dyDescent="0.25">
      <c r="A4019" s="10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  <c r="Q4019" s="11"/>
      <c r="R4019" s="11"/>
      <c r="S4019" s="11"/>
    </row>
    <row r="4020" spans="1:19" s="9" customFormat="1" x14ac:dyDescent="0.25">
      <c r="A4020" s="10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  <c r="Q4020" s="11"/>
      <c r="R4020" s="11"/>
      <c r="S4020" s="11"/>
    </row>
    <row r="4021" spans="1:19" s="9" customFormat="1" x14ac:dyDescent="0.25">
      <c r="A4021" s="10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  <c r="Q4021" s="11"/>
      <c r="R4021" s="11"/>
      <c r="S4021" s="11"/>
    </row>
    <row r="4022" spans="1:19" s="9" customFormat="1" x14ac:dyDescent="0.25">
      <c r="A4022" s="10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  <c r="Q4022" s="11"/>
      <c r="R4022" s="11"/>
      <c r="S4022" s="11"/>
    </row>
    <row r="4023" spans="1:19" s="9" customFormat="1" x14ac:dyDescent="0.25">
      <c r="A4023" s="10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  <c r="Q4023" s="11"/>
      <c r="R4023" s="11"/>
      <c r="S4023" s="11"/>
    </row>
    <row r="4024" spans="1:19" s="9" customFormat="1" x14ac:dyDescent="0.25">
      <c r="A4024" s="10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  <c r="Q4024" s="11"/>
      <c r="R4024" s="11"/>
      <c r="S4024" s="11"/>
    </row>
    <row r="4025" spans="1:19" s="9" customFormat="1" x14ac:dyDescent="0.25">
      <c r="A4025" s="10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  <c r="Q4025" s="11"/>
      <c r="R4025" s="11"/>
      <c r="S4025" s="11"/>
    </row>
    <row r="4026" spans="1:19" s="9" customFormat="1" x14ac:dyDescent="0.25">
      <c r="A4026" s="10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  <c r="Q4026" s="11"/>
      <c r="R4026" s="11"/>
      <c r="S4026" s="11"/>
    </row>
    <row r="4027" spans="1:19" s="9" customFormat="1" x14ac:dyDescent="0.25">
      <c r="A4027" s="10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  <c r="Q4027" s="11"/>
      <c r="R4027" s="11"/>
      <c r="S4027" s="11"/>
    </row>
    <row r="4028" spans="1:19" s="9" customFormat="1" x14ac:dyDescent="0.25">
      <c r="A4028" s="10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  <c r="Q4028" s="11"/>
      <c r="R4028" s="11"/>
      <c r="S4028" s="11"/>
    </row>
    <row r="4029" spans="1:19" s="9" customFormat="1" x14ac:dyDescent="0.25">
      <c r="A4029" s="10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  <c r="Q4029" s="11"/>
      <c r="R4029" s="11"/>
      <c r="S4029" s="11"/>
    </row>
    <row r="4030" spans="1:19" s="9" customFormat="1" x14ac:dyDescent="0.25">
      <c r="A4030" s="10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  <c r="Q4030" s="11"/>
      <c r="R4030" s="11"/>
      <c r="S4030" s="11"/>
    </row>
    <row r="4031" spans="1:19" s="9" customFormat="1" x14ac:dyDescent="0.25">
      <c r="A4031" s="10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  <c r="Q4031" s="11"/>
      <c r="R4031" s="11"/>
      <c r="S4031" s="11"/>
    </row>
    <row r="4032" spans="1:19" s="9" customFormat="1" x14ac:dyDescent="0.25">
      <c r="A4032" s="10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  <c r="Q4032" s="11"/>
      <c r="R4032" s="11"/>
      <c r="S4032" s="11"/>
    </row>
    <row r="4033" spans="1:19" s="9" customFormat="1" x14ac:dyDescent="0.25">
      <c r="A4033" s="10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  <c r="Q4033" s="11"/>
      <c r="R4033" s="11"/>
      <c r="S4033" s="11"/>
    </row>
    <row r="4034" spans="1:19" s="9" customFormat="1" x14ac:dyDescent="0.25">
      <c r="A4034" s="10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  <c r="Q4034" s="11"/>
      <c r="R4034" s="11"/>
      <c r="S4034" s="11"/>
    </row>
    <row r="4035" spans="1:19" s="9" customFormat="1" x14ac:dyDescent="0.25">
      <c r="A4035" s="10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  <c r="Q4035" s="11"/>
      <c r="R4035" s="11"/>
      <c r="S4035" s="11"/>
    </row>
    <row r="4036" spans="1:19" s="9" customFormat="1" x14ac:dyDescent="0.25">
      <c r="A4036" s="10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  <c r="Q4036" s="11"/>
      <c r="R4036" s="11"/>
      <c r="S4036" s="11"/>
    </row>
    <row r="4037" spans="1:19" s="9" customFormat="1" x14ac:dyDescent="0.25">
      <c r="A4037" s="10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  <c r="Q4037" s="11"/>
      <c r="R4037" s="11"/>
      <c r="S4037" s="11"/>
    </row>
    <row r="4038" spans="1:19" s="9" customFormat="1" x14ac:dyDescent="0.25">
      <c r="A4038" s="10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  <c r="Q4038" s="11"/>
      <c r="R4038" s="11"/>
      <c r="S4038" s="11"/>
    </row>
    <row r="4039" spans="1:19" s="9" customFormat="1" x14ac:dyDescent="0.25">
      <c r="A4039" s="10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  <c r="Q4039" s="11"/>
      <c r="R4039" s="11"/>
      <c r="S4039" s="11"/>
    </row>
    <row r="4040" spans="1:19" s="9" customFormat="1" x14ac:dyDescent="0.25">
      <c r="A4040" s="10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  <c r="Q4040" s="11"/>
      <c r="R4040" s="11"/>
      <c r="S4040" s="11"/>
    </row>
    <row r="4041" spans="1:19" s="9" customFormat="1" x14ac:dyDescent="0.25">
      <c r="A4041" s="10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  <c r="Q4041" s="11"/>
      <c r="R4041" s="11"/>
      <c r="S4041" s="11"/>
    </row>
    <row r="4042" spans="1:19" s="9" customFormat="1" x14ac:dyDescent="0.25">
      <c r="A4042" s="10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  <c r="Q4042" s="11"/>
      <c r="R4042" s="11"/>
      <c r="S4042" s="11"/>
    </row>
    <row r="4043" spans="1:19" s="9" customFormat="1" x14ac:dyDescent="0.25">
      <c r="A4043" s="10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  <c r="Q4043" s="11"/>
      <c r="R4043" s="11"/>
      <c r="S4043" s="11"/>
    </row>
    <row r="4044" spans="1:19" s="9" customFormat="1" x14ac:dyDescent="0.25">
      <c r="A4044" s="10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  <c r="Q4044" s="11"/>
      <c r="R4044" s="11"/>
      <c r="S4044" s="11"/>
    </row>
    <row r="4045" spans="1:19" s="9" customFormat="1" x14ac:dyDescent="0.25">
      <c r="A4045" s="10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  <c r="Q4045" s="11"/>
      <c r="R4045" s="11"/>
      <c r="S4045" s="11"/>
    </row>
    <row r="4046" spans="1:19" s="9" customFormat="1" x14ac:dyDescent="0.25">
      <c r="A4046" s="10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  <c r="Q4046" s="11"/>
      <c r="R4046" s="11"/>
      <c r="S4046" s="11"/>
    </row>
    <row r="4047" spans="1:19" s="9" customFormat="1" x14ac:dyDescent="0.25">
      <c r="A4047" s="10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  <c r="Q4047" s="11"/>
      <c r="R4047" s="11"/>
      <c r="S4047" s="11"/>
    </row>
    <row r="4048" spans="1:19" s="9" customFormat="1" x14ac:dyDescent="0.25">
      <c r="A4048" s="10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  <c r="Q4048" s="11"/>
      <c r="R4048" s="11"/>
      <c r="S4048" s="11"/>
    </row>
    <row r="4049" spans="1:19" s="9" customFormat="1" x14ac:dyDescent="0.25">
      <c r="A4049" s="10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  <c r="Q4049" s="11"/>
      <c r="R4049" s="11"/>
      <c r="S4049" s="11"/>
    </row>
    <row r="4050" spans="1:19" s="9" customFormat="1" x14ac:dyDescent="0.25">
      <c r="A4050" s="10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  <c r="Q4050" s="11"/>
      <c r="R4050" s="11"/>
      <c r="S4050" s="11"/>
    </row>
    <row r="4051" spans="1:19" s="9" customFormat="1" x14ac:dyDescent="0.25">
      <c r="A4051" s="10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  <c r="Q4051" s="11"/>
      <c r="R4051" s="11"/>
      <c r="S4051" s="11"/>
    </row>
    <row r="4052" spans="1:19" s="9" customFormat="1" x14ac:dyDescent="0.25">
      <c r="A4052" s="10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  <c r="Q4052" s="11"/>
      <c r="R4052" s="11"/>
      <c r="S4052" s="11"/>
    </row>
    <row r="4053" spans="1:19" s="9" customFormat="1" x14ac:dyDescent="0.25">
      <c r="A4053" s="10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  <c r="Q4053" s="11"/>
      <c r="R4053" s="11"/>
      <c r="S4053" s="11"/>
    </row>
    <row r="4054" spans="1:19" s="9" customFormat="1" x14ac:dyDescent="0.25">
      <c r="A4054" s="10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  <c r="Q4054" s="11"/>
      <c r="R4054" s="11"/>
      <c r="S4054" s="11"/>
    </row>
    <row r="4055" spans="1:19" s="9" customFormat="1" x14ac:dyDescent="0.25">
      <c r="A4055" s="10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  <c r="Q4055" s="11"/>
      <c r="R4055" s="11"/>
      <c r="S4055" s="11"/>
    </row>
    <row r="4056" spans="1:19" s="9" customFormat="1" x14ac:dyDescent="0.25">
      <c r="A4056" s="10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  <c r="Q4056" s="11"/>
      <c r="R4056" s="11"/>
      <c r="S4056" s="11"/>
    </row>
    <row r="4057" spans="1:19" s="9" customFormat="1" x14ac:dyDescent="0.25">
      <c r="A4057" s="10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  <c r="Q4057" s="11"/>
      <c r="R4057" s="11"/>
      <c r="S4057" s="11"/>
    </row>
    <row r="4058" spans="1:19" s="9" customFormat="1" x14ac:dyDescent="0.25">
      <c r="A4058" s="10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  <c r="Q4058" s="11"/>
      <c r="R4058" s="11"/>
      <c r="S4058" s="11"/>
    </row>
    <row r="4059" spans="1:19" s="9" customFormat="1" x14ac:dyDescent="0.25">
      <c r="A4059" s="10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  <c r="Q4059" s="11"/>
      <c r="R4059" s="11"/>
      <c r="S4059" s="11"/>
    </row>
    <row r="4060" spans="1:19" s="9" customFormat="1" x14ac:dyDescent="0.25">
      <c r="A4060" s="10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  <c r="Q4060" s="11"/>
      <c r="R4060" s="11"/>
      <c r="S4060" s="11"/>
    </row>
    <row r="4061" spans="1:19" s="9" customFormat="1" x14ac:dyDescent="0.25">
      <c r="A4061" s="10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  <c r="Q4061" s="11"/>
      <c r="R4061" s="11"/>
      <c r="S4061" s="11"/>
    </row>
    <row r="4062" spans="1:19" s="9" customFormat="1" x14ac:dyDescent="0.25">
      <c r="A4062" s="10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  <c r="Q4062" s="11"/>
      <c r="R4062" s="11"/>
      <c r="S4062" s="11"/>
    </row>
    <row r="4063" spans="1:19" s="9" customFormat="1" x14ac:dyDescent="0.25">
      <c r="A4063" s="10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  <c r="Q4063" s="11"/>
      <c r="R4063" s="11"/>
      <c r="S4063" s="11"/>
    </row>
    <row r="4064" spans="1:19" s="9" customFormat="1" x14ac:dyDescent="0.25">
      <c r="A4064" s="10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  <c r="Q4064" s="11"/>
      <c r="R4064" s="11"/>
      <c r="S4064" s="11"/>
    </row>
    <row r="4065" spans="1:19" s="9" customFormat="1" x14ac:dyDescent="0.25">
      <c r="A4065" s="10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  <c r="Q4065" s="11"/>
      <c r="R4065" s="11"/>
      <c r="S4065" s="11"/>
    </row>
    <row r="4066" spans="1:19" s="9" customFormat="1" x14ac:dyDescent="0.25">
      <c r="A4066" s="10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  <c r="Q4066" s="11"/>
      <c r="R4066" s="11"/>
      <c r="S4066" s="11"/>
    </row>
    <row r="4067" spans="1:19" s="9" customFormat="1" x14ac:dyDescent="0.25">
      <c r="A4067" s="10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  <c r="Q4067" s="11"/>
      <c r="R4067" s="11"/>
      <c r="S4067" s="11"/>
    </row>
    <row r="4068" spans="1:19" s="9" customFormat="1" x14ac:dyDescent="0.25">
      <c r="A4068" s="10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  <c r="Q4068" s="11"/>
      <c r="R4068" s="11"/>
      <c r="S4068" s="11"/>
    </row>
    <row r="4069" spans="1:19" s="9" customFormat="1" x14ac:dyDescent="0.25">
      <c r="A4069" s="10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  <c r="Q4069" s="11"/>
      <c r="R4069" s="11"/>
      <c r="S4069" s="11"/>
    </row>
    <row r="4070" spans="1:19" s="9" customFormat="1" x14ac:dyDescent="0.25">
      <c r="A4070" s="10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  <c r="Q4070" s="11"/>
      <c r="R4070" s="11"/>
      <c r="S4070" s="11"/>
    </row>
    <row r="4071" spans="1:19" s="9" customFormat="1" x14ac:dyDescent="0.25">
      <c r="A4071" s="10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  <c r="Q4071" s="11"/>
      <c r="R4071" s="11"/>
      <c r="S4071" s="11"/>
    </row>
    <row r="4072" spans="1:19" s="9" customFormat="1" x14ac:dyDescent="0.25">
      <c r="A4072" s="10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  <c r="Q4072" s="11"/>
      <c r="R4072" s="11"/>
      <c r="S4072" s="11"/>
    </row>
    <row r="4073" spans="1:19" s="9" customFormat="1" x14ac:dyDescent="0.25">
      <c r="A4073" s="10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  <c r="Q4073" s="11"/>
      <c r="R4073" s="11"/>
      <c r="S4073" s="11"/>
    </row>
    <row r="4074" spans="1:19" s="9" customFormat="1" x14ac:dyDescent="0.25">
      <c r="A4074" s="10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  <c r="Q4074" s="11"/>
      <c r="R4074" s="11"/>
      <c r="S4074" s="11"/>
    </row>
    <row r="4075" spans="1:19" s="9" customFormat="1" x14ac:dyDescent="0.25">
      <c r="A4075" s="10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  <c r="Q4075" s="11"/>
      <c r="R4075" s="11"/>
      <c r="S4075" s="11"/>
    </row>
    <row r="4076" spans="1:19" s="9" customFormat="1" x14ac:dyDescent="0.25">
      <c r="A4076" s="10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  <c r="Q4076" s="11"/>
      <c r="R4076" s="11"/>
      <c r="S4076" s="11"/>
    </row>
    <row r="4077" spans="1:19" s="9" customFormat="1" x14ac:dyDescent="0.25">
      <c r="A4077" s="10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  <c r="Q4077" s="11"/>
      <c r="R4077" s="11"/>
      <c r="S4077" s="11"/>
    </row>
    <row r="4078" spans="1:19" s="9" customFormat="1" x14ac:dyDescent="0.25">
      <c r="A4078" s="10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  <c r="Q4078" s="11"/>
      <c r="R4078" s="11"/>
      <c r="S4078" s="11"/>
    </row>
    <row r="4079" spans="1:19" s="9" customFormat="1" x14ac:dyDescent="0.25">
      <c r="A4079" s="10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  <c r="Q4079" s="11"/>
      <c r="R4079" s="11"/>
      <c r="S4079" s="11"/>
    </row>
    <row r="4080" spans="1:19" s="9" customFormat="1" x14ac:dyDescent="0.25">
      <c r="A4080" s="10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  <c r="Q4080" s="11"/>
      <c r="R4080" s="11"/>
      <c r="S4080" s="11"/>
    </row>
    <row r="4081" spans="1:19" s="9" customFormat="1" x14ac:dyDescent="0.25">
      <c r="A4081" s="10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  <c r="Q4081" s="11"/>
      <c r="R4081" s="11"/>
      <c r="S4081" s="11"/>
    </row>
    <row r="4082" spans="1:19" s="9" customFormat="1" x14ac:dyDescent="0.25">
      <c r="A4082" s="10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  <c r="Q4082" s="11"/>
      <c r="R4082" s="11"/>
      <c r="S4082" s="11"/>
    </row>
    <row r="4083" spans="1:19" s="9" customFormat="1" x14ac:dyDescent="0.25">
      <c r="A4083" s="10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  <c r="Q4083" s="11"/>
      <c r="R4083" s="11"/>
      <c r="S4083" s="11"/>
    </row>
    <row r="4084" spans="1:19" s="9" customFormat="1" x14ac:dyDescent="0.25">
      <c r="A4084" s="10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  <c r="Q4084" s="11"/>
      <c r="R4084" s="11"/>
      <c r="S4084" s="11"/>
    </row>
    <row r="4085" spans="1:19" s="9" customFormat="1" x14ac:dyDescent="0.25">
      <c r="A4085" s="10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  <c r="Q4085" s="11"/>
      <c r="R4085" s="11"/>
      <c r="S4085" s="11"/>
    </row>
    <row r="4086" spans="1:19" s="9" customFormat="1" x14ac:dyDescent="0.25">
      <c r="A4086" s="10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  <c r="Q4086" s="11"/>
      <c r="R4086" s="11"/>
      <c r="S4086" s="11"/>
    </row>
    <row r="4087" spans="1:19" s="9" customFormat="1" x14ac:dyDescent="0.25">
      <c r="A4087" s="10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  <c r="Q4087" s="11"/>
      <c r="R4087" s="11"/>
      <c r="S4087" s="11"/>
    </row>
    <row r="4088" spans="1:19" s="9" customFormat="1" x14ac:dyDescent="0.25">
      <c r="A4088" s="10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  <c r="Q4088" s="11"/>
      <c r="R4088" s="11"/>
      <c r="S4088" s="11"/>
    </row>
    <row r="4089" spans="1:19" s="9" customFormat="1" x14ac:dyDescent="0.25">
      <c r="A4089" s="10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  <c r="Q4089" s="11"/>
      <c r="R4089" s="11"/>
      <c r="S4089" s="11"/>
    </row>
    <row r="4090" spans="1:19" s="9" customFormat="1" x14ac:dyDescent="0.25">
      <c r="A4090" s="10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  <c r="Q4090" s="11"/>
      <c r="R4090" s="11"/>
      <c r="S4090" s="11"/>
    </row>
    <row r="4091" spans="1:19" s="9" customFormat="1" x14ac:dyDescent="0.25">
      <c r="A4091" s="10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  <c r="Q4091" s="11"/>
      <c r="R4091" s="11"/>
      <c r="S4091" s="11"/>
    </row>
    <row r="4092" spans="1:19" s="9" customFormat="1" x14ac:dyDescent="0.25">
      <c r="A4092" s="10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  <c r="Q4092" s="11"/>
      <c r="R4092" s="11"/>
      <c r="S4092" s="11"/>
    </row>
    <row r="4093" spans="1:19" s="9" customFormat="1" x14ac:dyDescent="0.25">
      <c r="A4093" s="10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  <c r="Q4093" s="11"/>
      <c r="R4093" s="11"/>
      <c r="S4093" s="11"/>
    </row>
    <row r="4094" spans="1:19" s="9" customFormat="1" x14ac:dyDescent="0.25">
      <c r="A4094" s="10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  <c r="Q4094" s="11"/>
      <c r="R4094" s="11"/>
      <c r="S4094" s="11"/>
    </row>
    <row r="4095" spans="1:19" s="9" customFormat="1" x14ac:dyDescent="0.25">
      <c r="A4095" s="10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  <c r="Q4095" s="11"/>
      <c r="R4095" s="11"/>
      <c r="S4095" s="11"/>
    </row>
    <row r="4096" spans="1:19" s="9" customFormat="1" x14ac:dyDescent="0.25">
      <c r="A4096" s="10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  <c r="Q4096" s="11"/>
      <c r="R4096" s="11"/>
      <c r="S4096" s="11"/>
    </row>
    <row r="4097" spans="1:19" s="9" customFormat="1" x14ac:dyDescent="0.25">
      <c r="A4097" s="10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  <c r="Q4097" s="11"/>
      <c r="R4097" s="11"/>
      <c r="S4097" s="11"/>
    </row>
    <row r="4098" spans="1:19" s="9" customFormat="1" x14ac:dyDescent="0.25">
      <c r="A4098" s="10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  <c r="Q4098" s="11"/>
      <c r="R4098" s="11"/>
      <c r="S4098" s="11"/>
    </row>
    <row r="4099" spans="1:19" s="9" customFormat="1" x14ac:dyDescent="0.25">
      <c r="A4099" s="10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  <c r="Q4099" s="11"/>
      <c r="R4099" s="11"/>
      <c r="S4099" s="11"/>
    </row>
    <row r="4100" spans="1:19" s="9" customFormat="1" x14ac:dyDescent="0.25">
      <c r="A4100" s="10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  <c r="Q4100" s="11"/>
      <c r="R4100" s="11"/>
      <c r="S4100" s="11"/>
    </row>
    <row r="4101" spans="1:19" s="9" customFormat="1" x14ac:dyDescent="0.25">
      <c r="A4101" s="10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  <c r="Q4101" s="11"/>
      <c r="R4101" s="11"/>
      <c r="S4101" s="11"/>
    </row>
    <row r="4102" spans="1:19" s="9" customFormat="1" x14ac:dyDescent="0.25">
      <c r="A4102" s="10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  <c r="Q4102" s="11"/>
      <c r="R4102" s="11"/>
      <c r="S4102" s="11"/>
    </row>
    <row r="4103" spans="1:19" s="9" customFormat="1" x14ac:dyDescent="0.25">
      <c r="A4103" s="10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  <c r="Q4103" s="11"/>
      <c r="R4103" s="11"/>
      <c r="S4103" s="11"/>
    </row>
    <row r="4104" spans="1:19" s="9" customFormat="1" x14ac:dyDescent="0.25">
      <c r="A4104" s="10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  <c r="Q4104" s="11"/>
      <c r="R4104" s="11"/>
      <c r="S4104" s="11"/>
    </row>
    <row r="4105" spans="1:19" s="9" customFormat="1" x14ac:dyDescent="0.25">
      <c r="A4105" s="10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  <c r="Q4105" s="11"/>
      <c r="R4105" s="11"/>
      <c r="S4105" s="11"/>
    </row>
    <row r="4106" spans="1:19" s="9" customFormat="1" x14ac:dyDescent="0.25">
      <c r="A4106" s="10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  <c r="Q4106" s="11"/>
      <c r="R4106" s="11"/>
      <c r="S4106" s="11"/>
    </row>
    <row r="4107" spans="1:19" s="9" customFormat="1" x14ac:dyDescent="0.25">
      <c r="A4107" s="10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  <c r="Q4107" s="11"/>
      <c r="R4107" s="11"/>
      <c r="S4107" s="11"/>
    </row>
    <row r="4108" spans="1:19" s="9" customFormat="1" x14ac:dyDescent="0.25">
      <c r="A4108" s="10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  <c r="Q4108" s="11"/>
      <c r="R4108" s="11"/>
      <c r="S4108" s="11"/>
    </row>
    <row r="4109" spans="1:19" s="9" customFormat="1" x14ac:dyDescent="0.25">
      <c r="A4109" s="10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  <c r="Q4109" s="11"/>
      <c r="R4109" s="11"/>
      <c r="S4109" s="11"/>
    </row>
    <row r="4110" spans="1:19" s="9" customFormat="1" x14ac:dyDescent="0.25">
      <c r="A4110" s="10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  <c r="Q4110" s="11"/>
      <c r="R4110" s="11"/>
      <c r="S4110" s="11"/>
    </row>
    <row r="4111" spans="1:19" s="9" customFormat="1" x14ac:dyDescent="0.25">
      <c r="A4111" s="10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  <c r="Q4111" s="11"/>
      <c r="R4111" s="11"/>
      <c r="S4111" s="11"/>
    </row>
    <row r="4112" spans="1:19" s="9" customFormat="1" x14ac:dyDescent="0.25">
      <c r="A4112" s="10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  <c r="Q4112" s="11"/>
      <c r="R4112" s="11"/>
      <c r="S4112" s="11"/>
    </row>
    <row r="4113" spans="1:19" s="9" customFormat="1" x14ac:dyDescent="0.25">
      <c r="A4113" s="10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  <c r="Q4113" s="11"/>
      <c r="R4113" s="11"/>
      <c r="S4113" s="11"/>
    </row>
    <row r="4114" spans="1:19" s="9" customFormat="1" x14ac:dyDescent="0.25">
      <c r="A4114" s="10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  <c r="Q4114" s="11"/>
      <c r="R4114" s="11"/>
      <c r="S4114" s="11"/>
    </row>
    <row r="4115" spans="1:19" s="9" customFormat="1" x14ac:dyDescent="0.25">
      <c r="A4115" s="10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  <c r="Q4115" s="11"/>
      <c r="R4115" s="11"/>
      <c r="S4115" s="11"/>
    </row>
    <row r="4116" spans="1:19" s="9" customFormat="1" x14ac:dyDescent="0.25">
      <c r="A4116" s="10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  <c r="Q4116" s="11"/>
      <c r="R4116" s="11"/>
      <c r="S4116" s="11"/>
    </row>
    <row r="4117" spans="1:19" s="9" customFormat="1" x14ac:dyDescent="0.25">
      <c r="A4117" s="10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  <c r="Q4117" s="11"/>
      <c r="R4117" s="11"/>
      <c r="S4117" s="11"/>
    </row>
    <row r="4118" spans="1:19" s="9" customFormat="1" x14ac:dyDescent="0.25">
      <c r="A4118" s="10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  <c r="Q4118" s="11"/>
      <c r="R4118" s="11"/>
      <c r="S4118" s="11"/>
    </row>
    <row r="4119" spans="1:19" s="9" customFormat="1" x14ac:dyDescent="0.25">
      <c r="A4119" s="10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  <c r="Q4119" s="11"/>
      <c r="R4119" s="11"/>
      <c r="S4119" s="11"/>
    </row>
    <row r="4120" spans="1:19" s="9" customFormat="1" x14ac:dyDescent="0.25">
      <c r="A4120" s="10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  <c r="Q4120" s="11"/>
      <c r="R4120" s="11"/>
      <c r="S4120" s="11"/>
    </row>
    <row r="4121" spans="1:19" s="9" customFormat="1" x14ac:dyDescent="0.25">
      <c r="A4121" s="10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  <c r="Q4121" s="11"/>
      <c r="R4121" s="11"/>
      <c r="S4121" s="11"/>
    </row>
    <row r="4122" spans="1:19" s="9" customFormat="1" x14ac:dyDescent="0.25">
      <c r="A4122" s="10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  <c r="Q4122" s="11"/>
      <c r="R4122" s="11"/>
      <c r="S4122" s="11"/>
    </row>
    <row r="4123" spans="1:19" s="9" customFormat="1" x14ac:dyDescent="0.25">
      <c r="A4123" s="10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  <c r="Q4123" s="11"/>
      <c r="R4123" s="11"/>
      <c r="S4123" s="11"/>
    </row>
    <row r="4124" spans="1:19" s="9" customFormat="1" x14ac:dyDescent="0.25">
      <c r="A4124" s="10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  <c r="Q4124" s="11"/>
      <c r="R4124" s="11"/>
      <c r="S4124" s="11"/>
    </row>
    <row r="4125" spans="1:19" s="9" customFormat="1" x14ac:dyDescent="0.25">
      <c r="A4125" s="10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  <c r="Q4125" s="11"/>
      <c r="R4125" s="11"/>
      <c r="S4125" s="11"/>
    </row>
    <row r="4126" spans="1:19" s="9" customFormat="1" x14ac:dyDescent="0.25">
      <c r="A4126" s="10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  <c r="Q4126" s="11"/>
      <c r="R4126" s="11"/>
      <c r="S4126" s="11"/>
    </row>
    <row r="4127" spans="1:19" s="9" customFormat="1" x14ac:dyDescent="0.25">
      <c r="A4127" s="10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  <c r="Q4127" s="11"/>
      <c r="R4127" s="11"/>
      <c r="S4127" s="11"/>
    </row>
    <row r="4128" spans="1:19" s="9" customFormat="1" x14ac:dyDescent="0.25">
      <c r="A4128" s="10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  <c r="Q4128" s="11"/>
      <c r="R4128" s="11"/>
      <c r="S4128" s="11"/>
    </row>
    <row r="4129" spans="1:19" s="9" customFormat="1" x14ac:dyDescent="0.25">
      <c r="A4129" s="10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  <c r="Q4129" s="11"/>
      <c r="R4129" s="11"/>
      <c r="S4129" s="11"/>
    </row>
    <row r="4130" spans="1:19" s="9" customFormat="1" x14ac:dyDescent="0.25">
      <c r="A4130" s="10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  <c r="Q4130" s="11"/>
      <c r="R4130" s="11"/>
      <c r="S4130" s="11"/>
    </row>
    <row r="4131" spans="1:19" s="9" customFormat="1" x14ac:dyDescent="0.25">
      <c r="A4131" s="10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  <c r="Q4131" s="11"/>
      <c r="R4131" s="11"/>
      <c r="S4131" s="11"/>
    </row>
    <row r="4132" spans="1:19" s="9" customFormat="1" x14ac:dyDescent="0.25">
      <c r="A4132" s="10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  <c r="Q4132" s="11"/>
      <c r="R4132" s="11"/>
      <c r="S4132" s="11"/>
    </row>
    <row r="4133" spans="1:19" s="9" customFormat="1" x14ac:dyDescent="0.25">
      <c r="A4133" s="10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  <c r="Q4133" s="11"/>
      <c r="R4133" s="11"/>
      <c r="S4133" s="11"/>
    </row>
    <row r="4134" spans="1:19" s="9" customFormat="1" x14ac:dyDescent="0.25">
      <c r="A4134" s="10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  <c r="Q4134" s="11"/>
      <c r="R4134" s="11"/>
      <c r="S4134" s="11"/>
    </row>
    <row r="4135" spans="1:19" s="9" customFormat="1" x14ac:dyDescent="0.25">
      <c r="A4135" s="10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  <c r="Q4135" s="11"/>
      <c r="R4135" s="11"/>
      <c r="S4135" s="11"/>
    </row>
    <row r="4136" spans="1:19" s="9" customFormat="1" x14ac:dyDescent="0.25">
      <c r="A4136" s="10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  <c r="Q4136" s="11"/>
      <c r="R4136" s="11"/>
      <c r="S4136" s="11"/>
    </row>
    <row r="4137" spans="1:19" s="9" customFormat="1" x14ac:dyDescent="0.25">
      <c r="A4137" s="10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  <c r="Q4137" s="11"/>
      <c r="R4137" s="11"/>
      <c r="S4137" s="11"/>
    </row>
    <row r="4138" spans="1:19" s="9" customFormat="1" x14ac:dyDescent="0.25">
      <c r="A4138" s="10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  <c r="Q4138" s="11"/>
      <c r="R4138" s="11"/>
      <c r="S4138" s="11"/>
    </row>
    <row r="4139" spans="1:19" s="9" customFormat="1" x14ac:dyDescent="0.25">
      <c r="A4139" s="10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  <c r="Q4139" s="11"/>
      <c r="R4139" s="11"/>
      <c r="S4139" s="11"/>
    </row>
    <row r="4140" spans="1:19" s="9" customFormat="1" x14ac:dyDescent="0.25">
      <c r="A4140" s="10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  <c r="Q4140" s="11"/>
      <c r="R4140" s="11"/>
      <c r="S4140" s="11"/>
    </row>
    <row r="4141" spans="1:19" s="9" customFormat="1" x14ac:dyDescent="0.25">
      <c r="A4141" s="10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  <c r="Q4141" s="11"/>
      <c r="R4141" s="11"/>
      <c r="S4141" s="11"/>
    </row>
    <row r="4142" spans="1:19" s="9" customFormat="1" x14ac:dyDescent="0.25">
      <c r="A4142" s="10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  <c r="Q4142" s="11"/>
      <c r="R4142" s="11"/>
      <c r="S4142" s="11"/>
    </row>
    <row r="4143" spans="1:19" s="9" customFormat="1" x14ac:dyDescent="0.25">
      <c r="A4143" s="10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  <c r="Q4143" s="11"/>
      <c r="R4143" s="11"/>
      <c r="S4143" s="11"/>
    </row>
    <row r="4144" spans="1:19" s="9" customFormat="1" x14ac:dyDescent="0.25">
      <c r="A4144" s="10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  <c r="Q4144" s="11"/>
      <c r="R4144" s="11"/>
      <c r="S4144" s="11"/>
    </row>
    <row r="4145" spans="1:19" s="9" customFormat="1" x14ac:dyDescent="0.25">
      <c r="A4145" s="10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  <c r="Q4145" s="11"/>
      <c r="R4145" s="11"/>
      <c r="S4145" s="11"/>
    </row>
    <row r="4146" spans="1:19" s="9" customFormat="1" x14ac:dyDescent="0.25">
      <c r="A4146" s="10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  <c r="Q4146" s="11"/>
      <c r="R4146" s="11"/>
      <c r="S4146" s="11"/>
    </row>
    <row r="4147" spans="1:19" s="9" customFormat="1" x14ac:dyDescent="0.25">
      <c r="A4147" s="10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  <c r="Q4147" s="11"/>
      <c r="R4147" s="11"/>
      <c r="S4147" s="11"/>
    </row>
    <row r="4148" spans="1:19" s="9" customFormat="1" x14ac:dyDescent="0.25">
      <c r="A4148" s="10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  <c r="Q4148" s="11"/>
      <c r="R4148" s="11"/>
      <c r="S4148" s="11"/>
    </row>
    <row r="4149" spans="1:19" s="9" customFormat="1" x14ac:dyDescent="0.25">
      <c r="A4149" s="10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  <c r="Q4149" s="11"/>
      <c r="R4149" s="11"/>
      <c r="S4149" s="11"/>
    </row>
    <row r="4150" spans="1:19" s="9" customFormat="1" x14ac:dyDescent="0.25">
      <c r="A4150" s="10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  <c r="Q4150" s="11"/>
      <c r="R4150" s="11"/>
      <c r="S4150" s="11"/>
    </row>
    <row r="4151" spans="1:19" s="9" customFormat="1" x14ac:dyDescent="0.25">
      <c r="A4151" s="10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  <c r="Q4151" s="11"/>
      <c r="R4151" s="11"/>
      <c r="S4151" s="11"/>
    </row>
    <row r="4152" spans="1:19" s="9" customFormat="1" x14ac:dyDescent="0.25">
      <c r="A4152" s="10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  <c r="Q4152" s="11"/>
      <c r="R4152" s="11"/>
      <c r="S4152" s="11"/>
    </row>
    <row r="4153" spans="1:19" s="9" customFormat="1" x14ac:dyDescent="0.25">
      <c r="A4153" s="10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  <c r="Q4153" s="11"/>
      <c r="R4153" s="11"/>
      <c r="S4153" s="11"/>
    </row>
    <row r="4154" spans="1:19" s="9" customFormat="1" x14ac:dyDescent="0.25">
      <c r="A4154" s="10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  <c r="Q4154" s="11"/>
      <c r="R4154" s="11"/>
      <c r="S4154" s="11"/>
    </row>
    <row r="4155" spans="1:19" s="9" customFormat="1" x14ac:dyDescent="0.25">
      <c r="A4155" s="10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  <c r="Q4155" s="11"/>
      <c r="R4155" s="11"/>
      <c r="S4155" s="11"/>
    </row>
    <row r="4156" spans="1:19" s="9" customFormat="1" x14ac:dyDescent="0.25">
      <c r="A4156" s="10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  <c r="Q4156" s="11"/>
      <c r="R4156" s="11"/>
      <c r="S4156" s="11"/>
    </row>
    <row r="4157" spans="1:19" s="9" customFormat="1" x14ac:dyDescent="0.25">
      <c r="A4157" s="10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  <c r="Q4157" s="11"/>
      <c r="R4157" s="11"/>
      <c r="S4157" s="11"/>
    </row>
    <row r="4158" spans="1:19" s="9" customFormat="1" x14ac:dyDescent="0.25">
      <c r="A4158" s="10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  <c r="Q4158" s="11"/>
      <c r="R4158" s="11"/>
      <c r="S4158" s="11"/>
    </row>
    <row r="4159" spans="1:19" s="9" customFormat="1" x14ac:dyDescent="0.25">
      <c r="A4159" s="10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  <c r="Q4159" s="11"/>
      <c r="R4159" s="11"/>
      <c r="S4159" s="11"/>
    </row>
    <row r="4160" spans="1:19" s="9" customFormat="1" x14ac:dyDescent="0.25">
      <c r="A4160" s="10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  <c r="Q4160" s="11"/>
      <c r="R4160" s="11"/>
      <c r="S4160" s="11"/>
    </row>
    <row r="4161" spans="1:19" s="9" customFormat="1" x14ac:dyDescent="0.25">
      <c r="A4161" s="10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  <c r="Q4161" s="11"/>
      <c r="R4161" s="11"/>
      <c r="S4161" s="11"/>
    </row>
    <row r="4162" spans="1:19" s="9" customFormat="1" x14ac:dyDescent="0.25">
      <c r="A4162" s="10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  <c r="Q4162" s="11"/>
      <c r="R4162" s="11"/>
      <c r="S4162" s="11"/>
    </row>
    <row r="4163" spans="1:19" s="9" customFormat="1" x14ac:dyDescent="0.25">
      <c r="A4163" s="10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  <c r="Q4163" s="11"/>
      <c r="R4163" s="11"/>
      <c r="S4163" s="11"/>
    </row>
    <row r="4164" spans="1:19" s="9" customFormat="1" x14ac:dyDescent="0.25">
      <c r="A4164" s="10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  <c r="Q4164" s="11"/>
      <c r="R4164" s="11"/>
      <c r="S4164" s="11"/>
    </row>
    <row r="4165" spans="1:19" s="9" customFormat="1" x14ac:dyDescent="0.25">
      <c r="A4165" s="10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  <c r="Q4165" s="11"/>
      <c r="R4165" s="11"/>
      <c r="S4165" s="11"/>
    </row>
    <row r="4166" spans="1:19" s="9" customFormat="1" x14ac:dyDescent="0.25">
      <c r="A4166" s="10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  <c r="Q4166" s="11"/>
      <c r="R4166" s="11"/>
      <c r="S4166" s="11"/>
    </row>
    <row r="4167" spans="1:19" s="9" customFormat="1" x14ac:dyDescent="0.25">
      <c r="A4167" s="10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  <c r="Q4167" s="11"/>
      <c r="R4167" s="11"/>
      <c r="S4167" s="11"/>
    </row>
    <row r="4168" spans="1:19" s="9" customFormat="1" x14ac:dyDescent="0.25">
      <c r="A4168" s="10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  <c r="Q4168" s="11"/>
      <c r="R4168" s="11"/>
      <c r="S4168" s="11"/>
    </row>
    <row r="4169" spans="1:19" s="9" customFormat="1" x14ac:dyDescent="0.25">
      <c r="A4169" s="10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  <c r="Q4169" s="11"/>
      <c r="R4169" s="11"/>
      <c r="S4169" s="11"/>
    </row>
    <row r="4170" spans="1:19" s="9" customFormat="1" x14ac:dyDescent="0.25">
      <c r="A4170" s="10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  <c r="Q4170" s="11"/>
      <c r="R4170" s="11"/>
      <c r="S4170" s="11"/>
    </row>
    <row r="4171" spans="1:19" s="9" customFormat="1" x14ac:dyDescent="0.25">
      <c r="A4171" s="10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  <c r="Q4171" s="11"/>
      <c r="R4171" s="11"/>
      <c r="S4171" s="11"/>
    </row>
    <row r="4172" spans="1:19" s="9" customFormat="1" x14ac:dyDescent="0.25">
      <c r="A4172" s="10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  <c r="Q4172" s="11"/>
      <c r="R4172" s="11"/>
      <c r="S4172" s="11"/>
    </row>
    <row r="4173" spans="1:19" s="9" customFormat="1" x14ac:dyDescent="0.25">
      <c r="A4173" s="10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  <c r="Q4173" s="11"/>
      <c r="R4173" s="11"/>
      <c r="S4173" s="11"/>
    </row>
    <row r="4174" spans="1:19" s="9" customFormat="1" x14ac:dyDescent="0.25">
      <c r="A4174" s="10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  <c r="Q4174" s="11"/>
      <c r="R4174" s="11"/>
      <c r="S4174" s="11"/>
    </row>
    <row r="4175" spans="1:19" s="9" customFormat="1" x14ac:dyDescent="0.25">
      <c r="A4175" s="10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  <c r="Q4175" s="11"/>
      <c r="R4175" s="11"/>
      <c r="S4175" s="11"/>
    </row>
    <row r="4176" spans="1:19" s="9" customFormat="1" x14ac:dyDescent="0.25">
      <c r="A4176" s="10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  <c r="Q4176" s="11"/>
      <c r="R4176" s="11"/>
      <c r="S4176" s="11"/>
    </row>
    <row r="4177" spans="1:19" s="9" customFormat="1" x14ac:dyDescent="0.25">
      <c r="A4177" s="10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  <c r="Q4177" s="11"/>
      <c r="R4177" s="11"/>
      <c r="S4177" s="11"/>
    </row>
    <row r="4178" spans="1:19" s="9" customFormat="1" x14ac:dyDescent="0.25">
      <c r="A4178" s="10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  <c r="Q4178" s="11"/>
      <c r="R4178" s="11"/>
      <c r="S4178" s="11"/>
    </row>
    <row r="4179" spans="1:19" s="9" customFormat="1" x14ac:dyDescent="0.25">
      <c r="A4179" s="10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  <c r="Q4179" s="11"/>
      <c r="R4179" s="11"/>
      <c r="S4179" s="11"/>
    </row>
    <row r="4180" spans="1:19" s="9" customFormat="1" x14ac:dyDescent="0.25">
      <c r="A4180" s="10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  <c r="Q4180" s="11"/>
      <c r="R4180" s="11"/>
      <c r="S4180" s="11"/>
    </row>
    <row r="4181" spans="1:19" s="9" customFormat="1" x14ac:dyDescent="0.25">
      <c r="A4181" s="10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  <c r="Q4181" s="11"/>
      <c r="R4181" s="11"/>
      <c r="S4181" s="11"/>
    </row>
    <row r="4182" spans="1:19" s="9" customFormat="1" x14ac:dyDescent="0.25">
      <c r="A4182" s="10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  <c r="Q4182" s="11"/>
      <c r="R4182" s="11"/>
      <c r="S4182" s="11"/>
    </row>
    <row r="4183" spans="1:19" s="9" customFormat="1" x14ac:dyDescent="0.25">
      <c r="A4183" s="10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  <c r="Q4183" s="11"/>
      <c r="R4183" s="11"/>
      <c r="S4183" s="11"/>
    </row>
    <row r="4184" spans="1:19" s="9" customFormat="1" x14ac:dyDescent="0.25">
      <c r="A4184" s="10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  <c r="Q4184" s="11"/>
      <c r="R4184" s="11"/>
      <c r="S4184" s="11"/>
    </row>
    <row r="4185" spans="1:19" s="9" customFormat="1" x14ac:dyDescent="0.25">
      <c r="A4185" s="10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  <c r="Q4185" s="11"/>
      <c r="R4185" s="11"/>
      <c r="S4185" s="11"/>
    </row>
    <row r="4186" spans="1:19" s="9" customFormat="1" x14ac:dyDescent="0.25">
      <c r="A4186" s="10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  <c r="Q4186" s="11"/>
      <c r="R4186" s="11"/>
      <c r="S4186" s="11"/>
    </row>
    <row r="4187" spans="1:19" s="9" customFormat="1" x14ac:dyDescent="0.25">
      <c r="A4187" s="10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  <c r="Q4187" s="11"/>
      <c r="R4187" s="11"/>
      <c r="S4187" s="11"/>
    </row>
    <row r="4188" spans="1:19" s="9" customFormat="1" x14ac:dyDescent="0.25">
      <c r="A4188" s="10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  <c r="Q4188" s="11"/>
      <c r="R4188" s="11"/>
      <c r="S4188" s="11"/>
    </row>
    <row r="4189" spans="1:19" s="9" customFormat="1" x14ac:dyDescent="0.25">
      <c r="A4189" s="10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  <c r="Q4189" s="11"/>
      <c r="R4189" s="11"/>
      <c r="S4189" s="11"/>
    </row>
    <row r="4190" spans="1:19" s="9" customFormat="1" x14ac:dyDescent="0.25">
      <c r="A4190" s="10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  <c r="Q4190" s="11"/>
      <c r="R4190" s="11"/>
      <c r="S4190" s="11"/>
    </row>
    <row r="4191" spans="1:19" s="9" customFormat="1" x14ac:dyDescent="0.25">
      <c r="A4191" s="10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  <c r="Q4191" s="11"/>
      <c r="R4191" s="11"/>
      <c r="S4191" s="11"/>
    </row>
    <row r="4192" spans="1:19" s="9" customFormat="1" x14ac:dyDescent="0.25">
      <c r="A4192" s="10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  <c r="Q4192" s="11"/>
      <c r="R4192" s="11"/>
      <c r="S4192" s="11"/>
    </row>
    <row r="4193" spans="1:19" s="9" customFormat="1" x14ac:dyDescent="0.25">
      <c r="A4193" s="10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  <c r="Q4193" s="11"/>
      <c r="R4193" s="11"/>
      <c r="S4193" s="11"/>
    </row>
    <row r="4194" spans="1:19" s="9" customFormat="1" x14ac:dyDescent="0.25">
      <c r="A4194" s="10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  <c r="Q4194" s="11"/>
      <c r="R4194" s="11"/>
      <c r="S4194" s="11"/>
    </row>
    <row r="4195" spans="1:19" s="9" customFormat="1" x14ac:dyDescent="0.25">
      <c r="A4195" s="10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  <c r="Q4195" s="11"/>
      <c r="R4195" s="11"/>
      <c r="S4195" s="11"/>
    </row>
    <row r="4196" spans="1:19" s="9" customFormat="1" x14ac:dyDescent="0.25">
      <c r="A4196" s="10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  <c r="Q4196" s="11"/>
      <c r="R4196" s="11"/>
      <c r="S4196" s="11"/>
    </row>
    <row r="4197" spans="1:19" s="9" customFormat="1" x14ac:dyDescent="0.25">
      <c r="A4197" s="10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  <c r="Q4197" s="11"/>
      <c r="R4197" s="11"/>
      <c r="S4197" s="11"/>
    </row>
    <row r="4198" spans="1:19" s="9" customFormat="1" x14ac:dyDescent="0.25">
      <c r="A4198" s="10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  <c r="Q4198" s="11"/>
      <c r="R4198" s="11"/>
      <c r="S4198" s="11"/>
    </row>
    <row r="4199" spans="1:19" s="9" customFormat="1" x14ac:dyDescent="0.25">
      <c r="A4199" s="10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  <c r="Q4199" s="11"/>
      <c r="R4199" s="11"/>
      <c r="S4199" s="11"/>
    </row>
    <row r="4200" spans="1:19" s="9" customFormat="1" x14ac:dyDescent="0.25">
      <c r="A4200" s="10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  <c r="Q4200" s="11"/>
      <c r="R4200" s="11"/>
      <c r="S4200" s="11"/>
    </row>
    <row r="4201" spans="1:19" s="9" customFormat="1" x14ac:dyDescent="0.25">
      <c r="A4201" s="10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  <c r="Q4201" s="11"/>
      <c r="R4201" s="11"/>
      <c r="S4201" s="11"/>
    </row>
    <row r="4202" spans="1:19" s="9" customFormat="1" x14ac:dyDescent="0.25">
      <c r="A4202" s="10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  <c r="Q4202" s="11"/>
      <c r="R4202" s="11"/>
      <c r="S4202" s="11"/>
    </row>
    <row r="4203" spans="1:19" s="9" customFormat="1" x14ac:dyDescent="0.25">
      <c r="A4203" s="10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  <c r="Q4203" s="11"/>
      <c r="R4203" s="11"/>
      <c r="S4203" s="11"/>
    </row>
    <row r="4204" spans="1:19" s="9" customFormat="1" x14ac:dyDescent="0.25">
      <c r="A4204" s="10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  <c r="Q4204" s="11"/>
      <c r="R4204" s="11"/>
      <c r="S4204" s="11"/>
    </row>
    <row r="4205" spans="1:19" s="9" customFormat="1" x14ac:dyDescent="0.25">
      <c r="A4205" s="10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  <c r="Q4205" s="11"/>
      <c r="R4205" s="11"/>
      <c r="S4205" s="11"/>
    </row>
    <row r="4206" spans="1:19" s="9" customFormat="1" x14ac:dyDescent="0.25">
      <c r="A4206" s="10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  <c r="Q4206" s="11"/>
      <c r="R4206" s="11"/>
      <c r="S4206" s="11"/>
    </row>
    <row r="4207" spans="1:19" s="9" customFormat="1" x14ac:dyDescent="0.25">
      <c r="A4207" s="10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  <c r="Q4207" s="11"/>
      <c r="R4207" s="11"/>
      <c r="S4207" s="11"/>
    </row>
    <row r="4208" spans="1:19" s="9" customFormat="1" x14ac:dyDescent="0.25">
      <c r="A4208" s="10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  <c r="Q4208" s="11"/>
      <c r="R4208" s="11"/>
      <c r="S4208" s="11"/>
    </row>
    <row r="4209" spans="1:19" s="9" customFormat="1" x14ac:dyDescent="0.25">
      <c r="A4209" s="10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  <c r="Q4209" s="11"/>
      <c r="R4209" s="11"/>
      <c r="S4209" s="11"/>
    </row>
    <row r="4210" spans="1:19" s="9" customFormat="1" x14ac:dyDescent="0.25">
      <c r="A4210" s="10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  <c r="Q4210" s="11"/>
      <c r="R4210" s="11"/>
      <c r="S4210" s="11"/>
    </row>
    <row r="4211" spans="1:19" s="9" customFormat="1" x14ac:dyDescent="0.25">
      <c r="A4211" s="10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  <c r="Q4211" s="11"/>
      <c r="R4211" s="11"/>
      <c r="S4211" s="11"/>
    </row>
    <row r="4212" spans="1:19" s="9" customFormat="1" x14ac:dyDescent="0.25">
      <c r="A4212" s="10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  <c r="Q4212" s="11"/>
      <c r="R4212" s="11"/>
      <c r="S4212" s="11"/>
    </row>
    <row r="4213" spans="1:19" s="9" customFormat="1" x14ac:dyDescent="0.25">
      <c r="A4213" s="10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  <c r="Q4213" s="11"/>
      <c r="R4213" s="11"/>
      <c r="S4213" s="11"/>
    </row>
    <row r="4214" spans="1:19" s="9" customFormat="1" x14ac:dyDescent="0.25">
      <c r="A4214" s="10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  <c r="Q4214" s="11"/>
      <c r="R4214" s="11"/>
      <c r="S4214" s="11"/>
    </row>
    <row r="4215" spans="1:19" s="9" customFormat="1" x14ac:dyDescent="0.25">
      <c r="A4215" s="10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  <c r="Q4215" s="11"/>
      <c r="R4215" s="11"/>
      <c r="S4215" s="11"/>
    </row>
    <row r="4216" spans="1:19" s="9" customFormat="1" x14ac:dyDescent="0.25">
      <c r="A4216" s="10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  <c r="Q4216" s="11"/>
      <c r="R4216" s="11"/>
      <c r="S4216" s="11"/>
    </row>
    <row r="4217" spans="1:19" s="9" customFormat="1" x14ac:dyDescent="0.25">
      <c r="A4217" s="10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  <c r="Q4217" s="11"/>
      <c r="R4217" s="11"/>
      <c r="S4217" s="11"/>
    </row>
    <row r="4218" spans="1:19" s="9" customFormat="1" x14ac:dyDescent="0.25">
      <c r="A4218" s="10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  <c r="Q4218" s="11"/>
      <c r="R4218" s="11"/>
      <c r="S4218" s="11"/>
    </row>
    <row r="4219" spans="1:19" s="9" customFormat="1" x14ac:dyDescent="0.25">
      <c r="A4219" s="10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  <c r="Q4219" s="11"/>
      <c r="R4219" s="11"/>
      <c r="S4219" s="11"/>
    </row>
    <row r="4220" spans="1:19" s="9" customFormat="1" x14ac:dyDescent="0.25">
      <c r="A4220" s="10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  <c r="Q4220" s="11"/>
      <c r="R4220" s="11"/>
      <c r="S4220" s="11"/>
    </row>
    <row r="4221" spans="1:19" s="9" customFormat="1" x14ac:dyDescent="0.25">
      <c r="A4221" s="10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  <c r="Q4221" s="11"/>
      <c r="R4221" s="11"/>
      <c r="S4221" s="11"/>
    </row>
    <row r="4222" spans="1:19" s="9" customFormat="1" x14ac:dyDescent="0.25">
      <c r="A4222" s="10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  <c r="Q4222" s="11"/>
      <c r="R4222" s="11"/>
      <c r="S4222" s="11"/>
    </row>
    <row r="4223" spans="1:19" s="9" customFormat="1" x14ac:dyDescent="0.25">
      <c r="A4223" s="10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  <c r="Q4223" s="11"/>
      <c r="R4223" s="11"/>
      <c r="S4223" s="11"/>
    </row>
    <row r="4224" spans="1:19" s="9" customFormat="1" x14ac:dyDescent="0.25">
      <c r="A4224" s="10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  <c r="Q4224" s="11"/>
      <c r="R4224" s="11"/>
      <c r="S4224" s="11"/>
    </row>
    <row r="4225" spans="1:19" s="9" customFormat="1" x14ac:dyDescent="0.25">
      <c r="A4225" s="10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  <c r="Q4225" s="11"/>
      <c r="R4225" s="11"/>
      <c r="S4225" s="11"/>
    </row>
    <row r="4226" spans="1:19" s="9" customFormat="1" x14ac:dyDescent="0.25">
      <c r="A4226" s="10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  <c r="Q4226" s="11"/>
      <c r="R4226" s="11"/>
      <c r="S4226" s="11"/>
    </row>
    <row r="4227" spans="1:19" s="9" customFormat="1" x14ac:dyDescent="0.25">
      <c r="A4227" s="10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  <c r="Q4227" s="11"/>
      <c r="R4227" s="11"/>
      <c r="S4227" s="11"/>
    </row>
    <row r="4228" spans="1:19" s="9" customFormat="1" x14ac:dyDescent="0.25">
      <c r="A4228" s="10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  <c r="Q4228" s="11"/>
      <c r="R4228" s="11"/>
      <c r="S4228" s="11"/>
    </row>
    <row r="4229" spans="1:19" s="9" customFormat="1" x14ac:dyDescent="0.25">
      <c r="A4229" s="10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  <c r="Q4229" s="11"/>
      <c r="R4229" s="11"/>
      <c r="S4229" s="11"/>
    </row>
    <row r="4230" spans="1:19" s="9" customFormat="1" x14ac:dyDescent="0.25">
      <c r="A4230" s="10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  <c r="Q4230" s="11"/>
      <c r="R4230" s="11"/>
      <c r="S4230" s="11"/>
    </row>
    <row r="4231" spans="1:19" s="9" customFormat="1" x14ac:dyDescent="0.25">
      <c r="A4231" s="10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  <c r="Q4231" s="11"/>
      <c r="R4231" s="11"/>
      <c r="S4231" s="11"/>
    </row>
    <row r="4232" spans="1:19" s="9" customFormat="1" x14ac:dyDescent="0.25">
      <c r="A4232" s="10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  <c r="Q4232" s="11"/>
      <c r="R4232" s="11"/>
      <c r="S4232" s="11"/>
    </row>
    <row r="4233" spans="1:19" s="9" customFormat="1" x14ac:dyDescent="0.25">
      <c r="A4233" s="10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  <c r="Q4233" s="11"/>
      <c r="R4233" s="11"/>
      <c r="S4233" s="11"/>
    </row>
    <row r="4234" spans="1:19" s="9" customFormat="1" x14ac:dyDescent="0.25">
      <c r="A4234" s="10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  <c r="Q4234" s="11"/>
      <c r="R4234" s="11"/>
      <c r="S4234" s="11"/>
    </row>
    <row r="4235" spans="1:19" s="9" customFormat="1" x14ac:dyDescent="0.25">
      <c r="A4235" s="10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  <c r="Q4235" s="11"/>
      <c r="R4235" s="11"/>
      <c r="S4235" s="11"/>
    </row>
    <row r="4236" spans="1:19" s="9" customFormat="1" x14ac:dyDescent="0.25">
      <c r="A4236" s="10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  <c r="Q4236" s="11"/>
      <c r="R4236" s="11"/>
      <c r="S4236" s="11"/>
    </row>
    <row r="4237" spans="1:19" s="9" customFormat="1" x14ac:dyDescent="0.25">
      <c r="A4237" s="10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  <c r="Q4237" s="11"/>
      <c r="R4237" s="11"/>
      <c r="S4237" s="11"/>
    </row>
    <row r="4238" spans="1:19" s="9" customFormat="1" x14ac:dyDescent="0.25">
      <c r="A4238" s="10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  <c r="Q4238" s="11"/>
      <c r="R4238" s="11"/>
      <c r="S4238" s="11"/>
    </row>
    <row r="4239" spans="1:19" s="9" customFormat="1" x14ac:dyDescent="0.25">
      <c r="A4239" s="10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  <c r="Q4239" s="11"/>
      <c r="R4239" s="11"/>
      <c r="S4239" s="11"/>
    </row>
    <row r="4240" spans="1:19" s="9" customFormat="1" x14ac:dyDescent="0.25">
      <c r="A4240" s="10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  <c r="Q4240" s="11"/>
      <c r="R4240" s="11"/>
      <c r="S4240" s="11"/>
    </row>
    <row r="4241" spans="1:19" s="9" customFormat="1" x14ac:dyDescent="0.25">
      <c r="A4241" s="10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  <c r="Q4241" s="11"/>
      <c r="R4241" s="11"/>
      <c r="S4241" s="11"/>
    </row>
    <row r="4242" spans="1:19" s="9" customFormat="1" x14ac:dyDescent="0.25">
      <c r="A4242" s="10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  <c r="Q4242" s="11"/>
      <c r="R4242" s="11"/>
      <c r="S4242" s="11"/>
    </row>
    <row r="4243" spans="1:19" s="9" customFormat="1" x14ac:dyDescent="0.25">
      <c r="A4243" s="10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  <c r="Q4243" s="11"/>
      <c r="R4243" s="11"/>
      <c r="S4243" s="11"/>
    </row>
    <row r="4244" spans="1:19" s="9" customFormat="1" x14ac:dyDescent="0.25">
      <c r="A4244" s="10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  <c r="Q4244" s="11"/>
      <c r="R4244" s="11"/>
      <c r="S4244" s="11"/>
    </row>
    <row r="4245" spans="1:19" s="9" customFormat="1" x14ac:dyDescent="0.25">
      <c r="A4245" s="10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  <c r="Q4245" s="11"/>
      <c r="R4245" s="11"/>
      <c r="S4245" s="11"/>
    </row>
    <row r="4246" spans="1:19" s="9" customFormat="1" x14ac:dyDescent="0.25">
      <c r="A4246" s="10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  <c r="Q4246" s="11"/>
      <c r="R4246" s="11"/>
      <c r="S4246" s="11"/>
    </row>
    <row r="4247" spans="1:19" s="9" customFormat="1" x14ac:dyDescent="0.25">
      <c r="A4247" s="10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  <c r="Q4247" s="11"/>
      <c r="R4247" s="11"/>
      <c r="S4247" s="11"/>
    </row>
    <row r="4248" spans="1:19" s="9" customFormat="1" x14ac:dyDescent="0.25">
      <c r="A4248" s="10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  <c r="Q4248" s="11"/>
      <c r="R4248" s="11"/>
      <c r="S4248" s="11"/>
    </row>
    <row r="4249" spans="1:19" s="9" customFormat="1" x14ac:dyDescent="0.25">
      <c r="A4249" s="10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  <c r="Q4249" s="11"/>
      <c r="R4249" s="11"/>
      <c r="S4249" s="11"/>
    </row>
    <row r="4250" spans="1:19" s="9" customFormat="1" x14ac:dyDescent="0.25">
      <c r="A4250" s="10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  <c r="Q4250" s="11"/>
      <c r="R4250" s="11"/>
      <c r="S4250" s="11"/>
    </row>
    <row r="4251" spans="1:19" s="9" customFormat="1" x14ac:dyDescent="0.25">
      <c r="A4251" s="10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  <c r="Q4251" s="11"/>
      <c r="R4251" s="11"/>
      <c r="S4251" s="11"/>
    </row>
    <row r="4252" spans="1:19" s="9" customFormat="1" x14ac:dyDescent="0.25">
      <c r="A4252" s="10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  <c r="Q4252" s="11"/>
      <c r="R4252" s="11"/>
      <c r="S4252" s="11"/>
    </row>
    <row r="4253" spans="1:19" s="9" customFormat="1" x14ac:dyDescent="0.25">
      <c r="A4253" s="10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  <c r="Q4253" s="11"/>
      <c r="R4253" s="11"/>
      <c r="S4253" s="11"/>
    </row>
    <row r="4254" spans="1:19" s="9" customFormat="1" x14ac:dyDescent="0.25">
      <c r="A4254" s="10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  <c r="Q4254" s="11"/>
      <c r="R4254" s="11"/>
      <c r="S4254" s="11"/>
    </row>
    <row r="4255" spans="1:19" s="9" customFormat="1" x14ac:dyDescent="0.25">
      <c r="A4255" s="10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  <c r="Q4255" s="11"/>
      <c r="R4255" s="11"/>
      <c r="S4255" s="11"/>
    </row>
    <row r="4256" spans="1:19" s="9" customFormat="1" x14ac:dyDescent="0.25">
      <c r="A4256" s="10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  <c r="Q4256" s="11"/>
      <c r="R4256" s="11"/>
      <c r="S4256" s="11"/>
    </row>
    <row r="4257" spans="1:19" s="9" customFormat="1" x14ac:dyDescent="0.25">
      <c r="A4257" s="10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  <c r="Q4257" s="11"/>
      <c r="R4257" s="11"/>
      <c r="S4257" s="11"/>
    </row>
    <row r="4258" spans="1:19" s="9" customFormat="1" x14ac:dyDescent="0.25">
      <c r="A4258" s="10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  <c r="Q4258" s="11"/>
      <c r="R4258" s="11"/>
      <c r="S4258" s="11"/>
    </row>
    <row r="4259" spans="1:19" s="9" customFormat="1" x14ac:dyDescent="0.25">
      <c r="A4259" s="10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  <c r="Q4259" s="11"/>
      <c r="R4259" s="11"/>
      <c r="S4259" s="11"/>
    </row>
    <row r="4260" spans="1:19" s="9" customFormat="1" x14ac:dyDescent="0.25">
      <c r="A4260" s="10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  <c r="Q4260" s="11"/>
      <c r="R4260" s="11"/>
      <c r="S4260" s="11"/>
    </row>
    <row r="4261" spans="1:19" s="9" customFormat="1" x14ac:dyDescent="0.25">
      <c r="A4261" s="10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  <c r="Q4261" s="11"/>
      <c r="R4261" s="11"/>
      <c r="S4261" s="11"/>
    </row>
    <row r="4262" spans="1:19" s="9" customFormat="1" x14ac:dyDescent="0.25">
      <c r="A4262" s="10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  <c r="Q4262" s="11"/>
      <c r="R4262" s="11"/>
      <c r="S4262" s="11"/>
    </row>
    <row r="4263" spans="1:19" s="9" customFormat="1" x14ac:dyDescent="0.25">
      <c r="A4263" s="10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  <c r="Q4263" s="11"/>
      <c r="R4263" s="11"/>
      <c r="S4263" s="11"/>
    </row>
    <row r="4264" spans="1:19" s="9" customFormat="1" x14ac:dyDescent="0.25">
      <c r="A4264" s="10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  <c r="Q4264" s="11"/>
      <c r="R4264" s="11"/>
      <c r="S4264" s="11"/>
    </row>
    <row r="4265" spans="1:19" s="9" customFormat="1" x14ac:dyDescent="0.25">
      <c r="A4265" s="10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  <c r="Q4265" s="11"/>
      <c r="R4265" s="11"/>
      <c r="S4265" s="11"/>
    </row>
    <row r="4266" spans="1:19" s="9" customFormat="1" x14ac:dyDescent="0.25">
      <c r="A4266" s="10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  <c r="Q4266" s="11"/>
      <c r="R4266" s="11"/>
      <c r="S4266" s="11"/>
    </row>
    <row r="4267" spans="1:19" s="9" customFormat="1" x14ac:dyDescent="0.25">
      <c r="A4267" s="10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  <c r="Q4267" s="11"/>
      <c r="R4267" s="11"/>
      <c r="S4267" s="11"/>
    </row>
    <row r="4268" spans="1:19" s="9" customFormat="1" x14ac:dyDescent="0.25">
      <c r="A4268" s="10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  <c r="Q4268" s="11"/>
      <c r="R4268" s="11"/>
      <c r="S4268" s="11"/>
    </row>
    <row r="4269" spans="1:19" s="9" customFormat="1" x14ac:dyDescent="0.25">
      <c r="A4269" s="10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  <c r="Q4269" s="11"/>
      <c r="R4269" s="11"/>
      <c r="S4269" s="11"/>
    </row>
    <row r="4270" spans="1:19" s="9" customFormat="1" x14ac:dyDescent="0.25">
      <c r="A4270" s="10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  <c r="Q4270" s="11"/>
      <c r="R4270" s="11"/>
      <c r="S4270" s="11"/>
    </row>
    <row r="4271" spans="1:19" s="9" customFormat="1" x14ac:dyDescent="0.25">
      <c r="A4271" s="10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  <c r="Q4271" s="11"/>
      <c r="R4271" s="11"/>
      <c r="S4271" s="11"/>
    </row>
    <row r="4272" spans="1:19" s="9" customFormat="1" x14ac:dyDescent="0.25">
      <c r="A4272" s="10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  <c r="Q4272" s="11"/>
      <c r="R4272" s="11"/>
      <c r="S4272" s="11"/>
    </row>
    <row r="4273" spans="1:19" s="9" customFormat="1" x14ac:dyDescent="0.25">
      <c r="A4273" s="10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  <c r="Q4273" s="11"/>
      <c r="R4273" s="11"/>
      <c r="S4273" s="11"/>
    </row>
    <row r="4274" spans="1:19" s="9" customFormat="1" x14ac:dyDescent="0.25">
      <c r="A4274" s="10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  <c r="Q4274" s="11"/>
      <c r="R4274" s="11"/>
      <c r="S4274" s="11"/>
    </row>
    <row r="4275" spans="1:19" s="9" customFormat="1" x14ac:dyDescent="0.25">
      <c r="A4275" s="10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  <c r="Q4275" s="11"/>
      <c r="R4275" s="11"/>
      <c r="S4275" s="11"/>
    </row>
    <row r="4276" spans="1:19" s="9" customFormat="1" x14ac:dyDescent="0.25">
      <c r="A4276" s="10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  <c r="Q4276" s="11"/>
      <c r="R4276" s="11"/>
      <c r="S4276" s="11"/>
    </row>
    <row r="4277" spans="1:19" s="9" customFormat="1" x14ac:dyDescent="0.25">
      <c r="A4277" s="10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  <c r="Q4277" s="11"/>
      <c r="R4277" s="11"/>
      <c r="S4277" s="11"/>
    </row>
    <row r="4278" spans="1:19" s="9" customFormat="1" x14ac:dyDescent="0.25">
      <c r="A4278" s="10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  <c r="Q4278" s="11"/>
      <c r="R4278" s="11"/>
      <c r="S4278" s="11"/>
    </row>
    <row r="4279" spans="1:19" s="9" customFormat="1" x14ac:dyDescent="0.25">
      <c r="A4279" s="10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  <c r="Q4279" s="11"/>
      <c r="R4279" s="11"/>
      <c r="S4279" s="11"/>
    </row>
    <row r="4280" spans="1:19" s="9" customFormat="1" x14ac:dyDescent="0.25">
      <c r="A4280" s="10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  <c r="Q4280" s="11"/>
      <c r="R4280" s="11"/>
      <c r="S4280" s="11"/>
    </row>
    <row r="4281" spans="1:19" s="9" customFormat="1" x14ac:dyDescent="0.25">
      <c r="A4281" s="10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  <c r="Q4281" s="11"/>
      <c r="R4281" s="11"/>
      <c r="S4281" s="11"/>
    </row>
    <row r="4282" spans="1:19" s="9" customFormat="1" x14ac:dyDescent="0.25">
      <c r="A4282" s="10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  <c r="Q4282" s="11"/>
      <c r="R4282" s="11"/>
      <c r="S4282" s="11"/>
    </row>
    <row r="4283" spans="1:19" s="9" customFormat="1" x14ac:dyDescent="0.25">
      <c r="A4283" s="10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  <c r="Q4283" s="11"/>
      <c r="R4283" s="11"/>
      <c r="S4283" s="11"/>
    </row>
    <row r="4284" spans="1:19" s="9" customFormat="1" x14ac:dyDescent="0.25">
      <c r="A4284" s="10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  <c r="Q4284" s="11"/>
      <c r="R4284" s="11"/>
      <c r="S4284" s="11"/>
    </row>
    <row r="4285" spans="1:19" s="9" customFormat="1" x14ac:dyDescent="0.25">
      <c r="A4285" s="10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  <c r="Q4285" s="11"/>
      <c r="R4285" s="11"/>
      <c r="S4285" s="11"/>
    </row>
    <row r="4286" spans="1:19" s="9" customFormat="1" x14ac:dyDescent="0.25">
      <c r="A4286" s="10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  <c r="Q4286" s="11"/>
      <c r="R4286" s="11"/>
      <c r="S4286" s="11"/>
    </row>
    <row r="4287" spans="1:19" s="9" customFormat="1" x14ac:dyDescent="0.25">
      <c r="A4287" s="10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  <c r="Q4287" s="11"/>
      <c r="R4287" s="11"/>
      <c r="S4287" s="11"/>
    </row>
    <row r="4288" spans="1:19" s="9" customFormat="1" x14ac:dyDescent="0.25">
      <c r="A4288" s="10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  <c r="Q4288" s="11"/>
      <c r="R4288" s="11"/>
      <c r="S4288" s="11"/>
    </row>
    <row r="4289" spans="1:19" s="9" customFormat="1" x14ac:dyDescent="0.25">
      <c r="A4289" s="10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  <c r="Q4289" s="11"/>
      <c r="R4289" s="11"/>
      <c r="S4289" s="11"/>
    </row>
    <row r="4290" spans="1:19" s="9" customFormat="1" x14ac:dyDescent="0.25">
      <c r="A4290" s="10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  <c r="Q4290" s="11"/>
      <c r="R4290" s="11"/>
      <c r="S4290" s="11"/>
    </row>
    <row r="4291" spans="1:19" s="9" customFormat="1" x14ac:dyDescent="0.25">
      <c r="A4291" s="10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  <c r="Q4291" s="11"/>
      <c r="R4291" s="11"/>
      <c r="S4291" s="11"/>
    </row>
    <row r="4292" spans="1:19" s="9" customFormat="1" x14ac:dyDescent="0.25">
      <c r="A4292" s="10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  <c r="Q4292" s="11"/>
      <c r="R4292" s="11"/>
      <c r="S4292" s="11"/>
    </row>
    <row r="4293" spans="1:19" s="9" customFormat="1" x14ac:dyDescent="0.25">
      <c r="A4293" s="10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  <c r="Q4293" s="11"/>
      <c r="R4293" s="11"/>
      <c r="S4293" s="11"/>
    </row>
    <row r="4294" spans="1:19" s="9" customFormat="1" x14ac:dyDescent="0.25">
      <c r="A4294" s="10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  <c r="Q4294" s="11"/>
      <c r="R4294" s="11"/>
      <c r="S4294" s="11"/>
    </row>
    <row r="4295" spans="1:19" s="9" customFormat="1" x14ac:dyDescent="0.25">
      <c r="A4295" s="10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  <c r="Q4295" s="11"/>
      <c r="R4295" s="11"/>
      <c r="S4295" s="11"/>
    </row>
    <row r="4296" spans="1:19" s="9" customFormat="1" x14ac:dyDescent="0.25">
      <c r="A4296" s="10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  <c r="Q4296" s="11"/>
      <c r="R4296" s="11"/>
      <c r="S4296" s="11"/>
    </row>
    <row r="4297" spans="1:19" s="9" customFormat="1" x14ac:dyDescent="0.25">
      <c r="A4297" s="10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  <c r="Q4297" s="11"/>
      <c r="R4297" s="11"/>
      <c r="S4297" s="11"/>
    </row>
    <row r="4298" spans="1:19" s="9" customFormat="1" x14ac:dyDescent="0.25">
      <c r="A4298" s="10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  <c r="Q4298" s="11"/>
      <c r="R4298" s="11"/>
      <c r="S4298" s="11"/>
    </row>
    <row r="4299" spans="1:19" s="9" customFormat="1" x14ac:dyDescent="0.25">
      <c r="A4299" s="10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  <c r="Q4299" s="11"/>
      <c r="R4299" s="11"/>
      <c r="S4299" s="11"/>
    </row>
    <row r="4300" spans="1:19" s="9" customFormat="1" x14ac:dyDescent="0.25">
      <c r="A4300" s="10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  <c r="Q4300" s="11"/>
      <c r="R4300" s="11"/>
      <c r="S4300" s="11"/>
    </row>
    <row r="4301" spans="1:19" s="9" customFormat="1" x14ac:dyDescent="0.25">
      <c r="A4301" s="10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  <c r="Q4301" s="11"/>
      <c r="R4301" s="11"/>
      <c r="S4301" s="11"/>
    </row>
    <row r="4302" spans="1:19" s="9" customFormat="1" x14ac:dyDescent="0.25">
      <c r="A4302" s="10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  <c r="Q4302" s="11"/>
      <c r="R4302" s="11"/>
      <c r="S4302" s="11"/>
    </row>
    <row r="4303" spans="1:19" s="9" customFormat="1" x14ac:dyDescent="0.25">
      <c r="A4303" s="10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  <c r="Q4303" s="11"/>
      <c r="R4303" s="11"/>
      <c r="S4303" s="11"/>
    </row>
    <row r="4304" spans="1:19" s="9" customFormat="1" x14ac:dyDescent="0.25">
      <c r="A4304" s="10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  <c r="Q4304" s="11"/>
      <c r="R4304" s="11"/>
      <c r="S4304" s="11"/>
    </row>
    <row r="4305" spans="1:19" s="9" customFormat="1" x14ac:dyDescent="0.25">
      <c r="A4305" s="10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  <c r="Q4305" s="11"/>
      <c r="R4305" s="11"/>
      <c r="S4305" s="11"/>
    </row>
    <row r="4306" spans="1:19" s="9" customFormat="1" x14ac:dyDescent="0.25">
      <c r="A4306" s="10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  <c r="Q4306" s="11"/>
      <c r="R4306" s="11"/>
      <c r="S4306" s="11"/>
    </row>
    <row r="4307" spans="1:19" s="9" customFormat="1" x14ac:dyDescent="0.25">
      <c r="A4307" s="10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  <c r="Q4307" s="11"/>
      <c r="R4307" s="11"/>
      <c r="S4307" s="11"/>
    </row>
    <row r="4308" spans="1:19" s="9" customFormat="1" x14ac:dyDescent="0.25">
      <c r="A4308" s="10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  <c r="Q4308" s="11"/>
      <c r="R4308" s="11"/>
      <c r="S4308" s="11"/>
    </row>
    <row r="4309" spans="1:19" s="9" customFormat="1" x14ac:dyDescent="0.25">
      <c r="A4309" s="10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  <c r="Q4309" s="11"/>
      <c r="R4309" s="11"/>
      <c r="S4309" s="11"/>
    </row>
    <row r="4310" spans="1:19" s="9" customFormat="1" x14ac:dyDescent="0.25">
      <c r="A4310" s="10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  <c r="Q4310" s="11"/>
      <c r="R4310" s="11"/>
      <c r="S4310" s="11"/>
    </row>
    <row r="4311" spans="1:19" s="9" customFormat="1" x14ac:dyDescent="0.25">
      <c r="A4311" s="10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  <c r="Q4311" s="11"/>
      <c r="R4311" s="11"/>
      <c r="S4311" s="11"/>
    </row>
    <row r="4312" spans="1:19" s="9" customFormat="1" x14ac:dyDescent="0.25">
      <c r="A4312" s="10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  <c r="Q4312" s="11"/>
      <c r="R4312" s="11"/>
      <c r="S4312" s="11"/>
    </row>
    <row r="4313" spans="1:19" s="9" customFormat="1" x14ac:dyDescent="0.25">
      <c r="A4313" s="10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  <c r="Q4313" s="11"/>
      <c r="R4313" s="11"/>
      <c r="S4313" s="11"/>
    </row>
    <row r="4314" spans="1:19" s="9" customFormat="1" x14ac:dyDescent="0.25">
      <c r="A4314" s="10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  <c r="Q4314" s="11"/>
      <c r="R4314" s="11"/>
      <c r="S4314" s="11"/>
    </row>
    <row r="4315" spans="1:19" s="9" customFormat="1" x14ac:dyDescent="0.25">
      <c r="A4315" s="10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  <c r="Q4315" s="11"/>
      <c r="R4315" s="11"/>
      <c r="S4315" s="11"/>
    </row>
    <row r="4316" spans="1:19" s="9" customFormat="1" x14ac:dyDescent="0.25">
      <c r="A4316" s="10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  <c r="Q4316" s="11"/>
      <c r="R4316" s="11"/>
      <c r="S4316" s="11"/>
    </row>
    <row r="4317" spans="1:19" s="9" customFormat="1" x14ac:dyDescent="0.25">
      <c r="A4317" s="10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  <c r="Q4317" s="11"/>
      <c r="R4317" s="11"/>
      <c r="S4317" s="11"/>
    </row>
    <row r="4318" spans="1:19" s="9" customFormat="1" x14ac:dyDescent="0.25">
      <c r="A4318" s="10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  <c r="Q4318" s="11"/>
      <c r="R4318" s="11"/>
      <c r="S4318" s="11"/>
    </row>
    <row r="4319" spans="1:19" s="9" customFormat="1" x14ac:dyDescent="0.25">
      <c r="A4319" s="10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  <c r="Q4319" s="11"/>
      <c r="R4319" s="11"/>
      <c r="S4319" s="11"/>
    </row>
    <row r="4320" spans="1:19" s="9" customFormat="1" x14ac:dyDescent="0.25">
      <c r="A4320" s="10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  <c r="Q4320" s="11"/>
      <c r="R4320" s="11"/>
      <c r="S4320" s="11"/>
    </row>
    <row r="4321" spans="1:19" s="9" customFormat="1" x14ac:dyDescent="0.25">
      <c r="A4321" s="10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  <c r="Q4321" s="11"/>
      <c r="R4321" s="11"/>
      <c r="S4321" s="11"/>
    </row>
    <row r="4322" spans="1:19" s="9" customFormat="1" x14ac:dyDescent="0.25">
      <c r="A4322" s="10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  <c r="Q4322" s="11"/>
      <c r="R4322" s="11"/>
      <c r="S4322" s="11"/>
    </row>
    <row r="4323" spans="1:19" s="9" customFormat="1" x14ac:dyDescent="0.25">
      <c r="A4323" s="10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  <c r="Q4323" s="11"/>
      <c r="R4323" s="11"/>
      <c r="S4323" s="11"/>
    </row>
    <row r="4324" spans="1:19" s="9" customFormat="1" x14ac:dyDescent="0.25">
      <c r="A4324" s="10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  <c r="Q4324" s="11"/>
      <c r="R4324" s="11"/>
      <c r="S4324" s="11"/>
    </row>
    <row r="4325" spans="1:19" s="9" customFormat="1" x14ac:dyDescent="0.25">
      <c r="A4325" s="10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  <c r="Q4325" s="11"/>
      <c r="R4325" s="11"/>
      <c r="S4325" s="11"/>
    </row>
    <row r="4326" spans="1:19" s="9" customFormat="1" x14ac:dyDescent="0.25">
      <c r="A4326" s="10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  <c r="Q4326" s="11"/>
      <c r="R4326" s="11"/>
      <c r="S4326" s="11"/>
    </row>
    <row r="4327" spans="1:19" s="9" customFormat="1" x14ac:dyDescent="0.25">
      <c r="A4327" s="10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  <c r="Q4327" s="11"/>
      <c r="R4327" s="11"/>
      <c r="S4327" s="11"/>
    </row>
    <row r="4328" spans="1:19" s="9" customFormat="1" x14ac:dyDescent="0.25">
      <c r="A4328" s="10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  <c r="Q4328" s="11"/>
      <c r="R4328" s="11"/>
      <c r="S4328" s="11"/>
    </row>
    <row r="4329" spans="1:19" s="9" customFormat="1" x14ac:dyDescent="0.25">
      <c r="A4329" s="10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  <c r="Q4329" s="11"/>
      <c r="R4329" s="11"/>
      <c r="S4329" s="11"/>
    </row>
    <row r="4330" spans="1:19" s="9" customFormat="1" x14ac:dyDescent="0.25">
      <c r="A4330" s="10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  <c r="Q4330" s="11"/>
      <c r="R4330" s="11"/>
      <c r="S4330" s="11"/>
    </row>
    <row r="4331" spans="1:19" s="9" customFormat="1" x14ac:dyDescent="0.25">
      <c r="A4331" s="10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  <c r="Q4331" s="11"/>
      <c r="R4331" s="11"/>
      <c r="S4331" s="11"/>
    </row>
    <row r="4332" spans="1:19" s="9" customFormat="1" x14ac:dyDescent="0.25">
      <c r="A4332" s="10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  <c r="Q4332" s="11"/>
      <c r="R4332" s="11"/>
      <c r="S4332" s="11"/>
    </row>
    <row r="4333" spans="1:19" s="9" customFormat="1" x14ac:dyDescent="0.25">
      <c r="A4333" s="10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  <c r="Q4333" s="11"/>
      <c r="R4333" s="11"/>
      <c r="S4333" s="11"/>
    </row>
    <row r="4334" spans="1:19" s="9" customFormat="1" x14ac:dyDescent="0.25">
      <c r="A4334" s="10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  <c r="Q4334" s="11"/>
      <c r="R4334" s="11"/>
      <c r="S4334" s="11"/>
    </row>
    <row r="4335" spans="1:19" s="9" customFormat="1" x14ac:dyDescent="0.25">
      <c r="A4335" s="10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  <c r="Q4335" s="11"/>
      <c r="R4335" s="11"/>
      <c r="S4335" s="11"/>
    </row>
    <row r="4336" spans="1:19" s="9" customFormat="1" x14ac:dyDescent="0.25">
      <c r="A4336" s="10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  <c r="Q4336" s="11"/>
      <c r="R4336" s="11"/>
      <c r="S4336" s="11"/>
    </row>
    <row r="4337" spans="1:19" s="9" customFormat="1" x14ac:dyDescent="0.25">
      <c r="A4337" s="10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  <c r="Q4337" s="11"/>
      <c r="R4337" s="11"/>
      <c r="S4337" s="11"/>
    </row>
    <row r="4338" spans="1:19" s="9" customFormat="1" x14ac:dyDescent="0.25">
      <c r="A4338" s="10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  <c r="Q4338" s="11"/>
      <c r="R4338" s="11"/>
      <c r="S4338" s="11"/>
    </row>
    <row r="4339" spans="1:19" s="9" customFormat="1" x14ac:dyDescent="0.25">
      <c r="A4339" s="10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  <c r="Q4339" s="11"/>
      <c r="R4339" s="11"/>
      <c r="S4339" s="11"/>
    </row>
    <row r="4340" spans="1:19" s="9" customFormat="1" x14ac:dyDescent="0.25">
      <c r="A4340" s="10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  <c r="Q4340" s="11"/>
      <c r="R4340" s="11"/>
      <c r="S4340" s="11"/>
    </row>
    <row r="4341" spans="1:19" s="9" customFormat="1" x14ac:dyDescent="0.25">
      <c r="A4341" s="10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  <c r="Q4341" s="11"/>
      <c r="R4341" s="11"/>
      <c r="S4341" s="11"/>
    </row>
    <row r="4342" spans="1:19" s="9" customFormat="1" x14ac:dyDescent="0.25">
      <c r="A4342" s="10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  <c r="Q4342" s="11"/>
      <c r="R4342" s="11"/>
      <c r="S4342" s="11"/>
    </row>
    <row r="4343" spans="1:19" s="9" customFormat="1" x14ac:dyDescent="0.25">
      <c r="A4343" s="10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  <c r="Q4343" s="11"/>
      <c r="R4343" s="11"/>
      <c r="S4343" s="11"/>
    </row>
    <row r="4344" spans="1:19" s="9" customFormat="1" x14ac:dyDescent="0.25">
      <c r="A4344" s="10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  <c r="Q4344" s="11"/>
      <c r="R4344" s="11"/>
      <c r="S4344" s="11"/>
    </row>
    <row r="4345" spans="1:19" s="9" customFormat="1" x14ac:dyDescent="0.25">
      <c r="A4345" s="10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  <c r="Q4345" s="11"/>
      <c r="R4345" s="11"/>
      <c r="S4345" s="11"/>
    </row>
    <row r="4346" spans="1:19" s="9" customFormat="1" x14ac:dyDescent="0.25">
      <c r="A4346" s="10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  <c r="Q4346" s="11"/>
      <c r="R4346" s="11"/>
      <c r="S4346" s="11"/>
    </row>
    <row r="4347" spans="1:19" s="9" customFormat="1" x14ac:dyDescent="0.25">
      <c r="A4347" s="10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  <c r="Q4347" s="11"/>
      <c r="R4347" s="11"/>
      <c r="S4347" s="11"/>
    </row>
    <row r="4348" spans="1:19" s="9" customFormat="1" x14ac:dyDescent="0.25">
      <c r="A4348" s="10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  <c r="Q4348" s="11"/>
      <c r="R4348" s="11"/>
      <c r="S4348" s="11"/>
    </row>
    <row r="4349" spans="1:19" s="9" customFormat="1" x14ac:dyDescent="0.25">
      <c r="A4349" s="10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  <c r="Q4349" s="11"/>
      <c r="R4349" s="11"/>
      <c r="S4349" s="11"/>
    </row>
    <row r="4350" spans="1:19" s="9" customFormat="1" x14ac:dyDescent="0.25">
      <c r="A4350" s="10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  <c r="Q4350" s="11"/>
      <c r="R4350" s="11"/>
      <c r="S4350" s="11"/>
    </row>
    <row r="4351" spans="1:19" s="9" customFormat="1" x14ac:dyDescent="0.25">
      <c r="A4351" s="10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  <c r="Q4351" s="11"/>
      <c r="R4351" s="11"/>
      <c r="S4351" s="11"/>
    </row>
    <row r="4352" spans="1:19" s="9" customFormat="1" x14ac:dyDescent="0.25">
      <c r="A4352" s="10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  <c r="Q4352" s="11"/>
      <c r="R4352" s="11"/>
      <c r="S4352" s="11"/>
    </row>
    <row r="4353" spans="1:19" s="9" customFormat="1" x14ac:dyDescent="0.25">
      <c r="A4353" s="10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  <c r="Q4353" s="11"/>
      <c r="R4353" s="11"/>
      <c r="S4353" s="11"/>
    </row>
    <row r="4354" spans="1:19" s="9" customFormat="1" x14ac:dyDescent="0.25">
      <c r="A4354" s="10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  <c r="Q4354" s="11"/>
      <c r="R4354" s="11"/>
      <c r="S4354" s="11"/>
    </row>
    <row r="4355" spans="1:19" s="9" customFormat="1" x14ac:dyDescent="0.25">
      <c r="A4355" s="10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  <c r="Q4355" s="11"/>
      <c r="R4355" s="11"/>
      <c r="S4355" s="11"/>
    </row>
    <row r="4356" spans="1:19" s="9" customFormat="1" x14ac:dyDescent="0.25">
      <c r="A4356" s="10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  <c r="Q4356" s="11"/>
      <c r="R4356" s="11"/>
      <c r="S4356" s="11"/>
    </row>
    <row r="4357" spans="1:19" s="9" customFormat="1" x14ac:dyDescent="0.25">
      <c r="A4357" s="10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  <c r="Q4357" s="11"/>
      <c r="R4357" s="11"/>
      <c r="S4357" s="11"/>
    </row>
    <row r="4358" spans="1:19" s="9" customFormat="1" x14ac:dyDescent="0.25">
      <c r="A4358" s="10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  <c r="Q4358" s="11"/>
      <c r="R4358" s="11"/>
      <c r="S4358" s="11"/>
    </row>
    <row r="4359" spans="1:19" s="9" customFormat="1" x14ac:dyDescent="0.25">
      <c r="A4359" s="10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  <c r="Q4359" s="11"/>
      <c r="R4359" s="11"/>
      <c r="S4359" s="11"/>
    </row>
    <row r="4360" spans="1:19" s="9" customFormat="1" x14ac:dyDescent="0.25">
      <c r="A4360" s="10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  <c r="Q4360" s="11"/>
      <c r="R4360" s="11"/>
      <c r="S4360" s="11"/>
    </row>
    <row r="4361" spans="1:19" s="9" customFormat="1" x14ac:dyDescent="0.25">
      <c r="A4361" s="10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  <c r="Q4361" s="11"/>
      <c r="R4361" s="11"/>
      <c r="S4361" s="11"/>
    </row>
    <row r="4362" spans="1:19" s="9" customFormat="1" x14ac:dyDescent="0.25">
      <c r="A4362" s="10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  <c r="Q4362" s="11"/>
      <c r="R4362" s="11"/>
      <c r="S4362" s="11"/>
    </row>
    <row r="4363" spans="1:19" s="9" customFormat="1" x14ac:dyDescent="0.25">
      <c r="A4363" s="10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  <c r="Q4363" s="11"/>
      <c r="R4363" s="11"/>
      <c r="S4363" s="11"/>
    </row>
    <row r="4364" spans="1:19" s="9" customFormat="1" x14ac:dyDescent="0.25">
      <c r="A4364" s="10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  <c r="Q4364" s="11"/>
      <c r="R4364" s="11"/>
      <c r="S4364" s="11"/>
    </row>
    <row r="4365" spans="1:19" s="9" customFormat="1" x14ac:dyDescent="0.25">
      <c r="A4365" s="10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  <c r="Q4365" s="11"/>
      <c r="R4365" s="11"/>
      <c r="S4365" s="11"/>
    </row>
    <row r="4366" spans="1:19" s="9" customFormat="1" x14ac:dyDescent="0.25">
      <c r="A4366" s="10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  <c r="Q4366" s="11"/>
      <c r="R4366" s="11"/>
      <c r="S4366" s="11"/>
    </row>
    <row r="4367" spans="1:19" s="9" customFormat="1" x14ac:dyDescent="0.25">
      <c r="A4367" s="10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  <c r="Q4367" s="11"/>
      <c r="R4367" s="11"/>
      <c r="S4367" s="11"/>
    </row>
    <row r="4368" spans="1:19" s="9" customFormat="1" x14ac:dyDescent="0.25">
      <c r="A4368" s="10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  <c r="Q4368" s="11"/>
      <c r="R4368" s="11"/>
      <c r="S4368" s="11"/>
    </row>
    <row r="4369" spans="1:19" s="9" customFormat="1" x14ac:dyDescent="0.25">
      <c r="A4369" s="10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  <c r="Q4369" s="11"/>
      <c r="R4369" s="11"/>
      <c r="S4369" s="11"/>
    </row>
    <row r="4370" spans="1:19" s="9" customFormat="1" x14ac:dyDescent="0.25">
      <c r="A4370" s="10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  <c r="Q4370" s="11"/>
      <c r="R4370" s="11"/>
      <c r="S4370" s="11"/>
    </row>
    <row r="4371" spans="1:19" s="9" customFormat="1" x14ac:dyDescent="0.25">
      <c r="A4371" s="10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  <c r="Q4371" s="11"/>
      <c r="R4371" s="11"/>
      <c r="S4371" s="11"/>
    </row>
    <row r="4372" spans="1:19" s="9" customFormat="1" x14ac:dyDescent="0.25">
      <c r="A4372" s="10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  <c r="Q4372" s="11"/>
      <c r="R4372" s="11"/>
      <c r="S4372" s="11"/>
    </row>
    <row r="4373" spans="1:19" s="9" customFormat="1" x14ac:dyDescent="0.25">
      <c r="A4373" s="10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  <c r="Q4373" s="11"/>
      <c r="R4373" s="11"/>
      <c r="S4373" s="11"/>
    </row>
    <row r="4374" spans="1:19" s="9" customFormat="1" x14ac:dyDescent="0.25">
      <c r="A4374" s="10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  <c r="Q4374" s="11"/>
      <c r="R4374" s="11"/>
      <c r="S4374" s="11"/>
    </row>
    <row r="4375" spans="1:19" s="9" customFormat="1" x14ac:dyDescent="0.25">
      <c r="A4375" s="10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  <c r="Q4375" s="11"/>
      <c r="R4375" s="11"/>
      <c r="S4375" s="11"/>
    </row>
    <row r="4376" spans="1:19" s="9" customFormat="1" x14ac:dyDescent="0.25">
      <c r="A4376" s="10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  <c r="Q4376" s="11"/>
      <c r="R4376" s="11"/>
      <c r="S4376" s="11"/>
    </row>
    <row r="4377" spans="1:19" s="9" customFormat="1" x14ac:dyDescent="0.25">
      <c r="A4377" s="10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  <c r="Q4377" s="11"/>
      <c r="R4377" s="11"/>
      <c r="S4377" s="11"/>
    </row>
    <row r="4378" spans="1:19" s="9" customFormat="1" x14ac:dyDescent="0.25">
      <c r="A4378" s="10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  <c r="Q4378" s="11"/>
      <c r="R4378" s="11"/>
      <c r="S4378" s="11"/>
    </row>
    <row r="4379" spans="1:19" s="9" customFormat="1" x14ac:dyDescent="0.25">
      <c r="A4379" s="10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  <c r="Q4379" s="11"/>
      <c r="R4379" s="11"/>
      <c r="S4379" s="11"/>
    </row>
    <row r="4380" spans="1:19" s="9" customFormat="1" x14ac:dyDescent="0.25">
      <c r="A4380" s="10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  <c r="Q4380" s="11"/>
      <c r="R4380" s="11"/>
      <c r="S4380" s="11"/>
    </row>
    <row r="4381" spans="1:19" s="9" customFormat="1" x14ac:dyDescent="0.25">
      <c r="A4381" s="10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  <c r="Q4381" s="11"/>
      <c r="R4381" s="11"/>
      <c r="S4381" s="11"/>
    </row>
    <row r="4382" spans="1:19" s="9" customFormat="1" x14ac:dyDescent="0.25">
      <c r="A4382" s="10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  <c r="Q4382" s="11"/>
      <c r="R4382" s="11"/>
      <c r="S4382" s="11"/>
    </row>
    <row r="4383" spans="1:19" s="9" customFormat="1" x14ac:dyDescent="0.25">
      <c r="A4383" s="10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  <c r="Q4383" s="11"/>
      <c r="R4383" s="11"/>
      <c r="S4383" s="11"/>
    </row>
    <row r="4384" spans="1:19" s="9" customFormat="1" x14ac:dyDescent="0.25">
      <c r="A4384" s="10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  <c r="Q4384" s="11"/>
      <c r="R4384" s="11"/>
      <c r="S4384" s="11"/>
    </row>
    <row r="4385" spans="1:19" s="9" customFormat="1" x14ac:dyDescent="0.25">
      <c r="A4385" s="10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  <c r="Q4385" s="11"/>
      <c r="R4385" s="11"/>
      <c r="S4385" s="11"/>
    </row>
    <row r="4386" spans="1:19" s="9" customFormat="1" x14ac:dyDescent="0.25">
      <c r="A4386" s="10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  <c r="Q4386" s="11"/>
      <c r="R4386" s="11"/>
      <c r="S4386" s="11"/>
    </row>
    <row r="4387" spans="1:19" s="9" customFormat="1" x14ac:dyDescent="0.25">
      <c r="A4387" s="10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  <c r="Q4387" s="11"/>
      <c r="R4387" s="11"/>
      <c r="S4387" s="11"/>
    </row>
    <row r="4388" spans="1:19" s="9" customFormat="1" x14ac:dyDescent="0.25">
      <c r="A4388" s="10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  <c r="Q4388" s="11"/>
      <c r="R4388" s="11"/>
      <c r="S4388" s="11"/>
    </row>
    <row r="4389" spans="1:19" s="9" customFormat="1" x14ac:dyDescent="0.25">
      <c r="A4389" s="10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  <c r="Q4389" s="11"/>
      <c r="R4389" s="11"/>
      <c r="S4389" s="11"/>
    </row>
    <row r="4390" spans="1:19" s="9" customFormat="1" x14ac:dyDescent="0.25">
      <c r="A4390" s="10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  <c r="Q4390" s="11"/>
      <c r="R4390" s="11"/>
      <c r="S4390" s="11"/>
    </row>
    <row r="4391" spans="1:19" s="9" customFormat="1" x14ac:dyDescent="0.25">
      <c r="A4391" s="10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  <c r="Q4391" s="11"/>
      <c r="R4391" s="11"/>
      <c r="S4391" s="11"/>
    </row>
    <row r="4392" spans="1:19" s="9" customFormat="1" x14ac:dyDescent="0.25">
      <c r="A4392" s="10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  <c r="Q4392" s="11"/>
      <c r="R4392" s="11"/>
      <c r="S4392" s="11"/>
    </row>
    <row r="4393" spans="1:19" s="9" customFormat="1" x14ac:dyDescent="0.25">
      <c r="A4393" s="10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  <c r="Q4393" s="11"/>
      <c r="R4393" s="11"/>
      <c r="S4393" s="11"/>
    </row>
    <row r="4394" spans="1:19" s="9" customFormat="1" x14ac:dyDescent="0.25">
      <c r="A4394" s="10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  <c r="Q4394" s="11"/>
      <c r="R4394" s="11"/>
      <c r="S4394" s="11"/>
    </row>
    <row r="4395" spans="1:19" s="9" customFormat="1" x14ac:dyDescent="0.25">
      <c r="A4395" s="10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  <c r="Q4395" s="11"/>
      <c r="R4395" s="11"/>
      <c r="S4395" s="11"/>
    </row>
    <row r="4396" spans="1:19" s="9" customFormat="1" x14ac:dyDescent="0.25">
      <c r="A4396" s="10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  <c r="Q4396" s="11"/>
      <c r="R4396" s="11"/>
      <c r="S4396" s="11"/>
    </row>
    <row r="4397" spans="1:19" s="9" customFormat="1" x14ac:dyDescent="0.25">
      <c r="A4397" s="10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  <c r="Q4397" s="11"/>
      <c r="R4397" s="11"/>
      <c r="S4397" s="11"/>
    </row>
    <row r="4398" spans="1:19" s="9" customFormat="1" x14ac:dyDescent="0.25">
      <c r="A4398" s="10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  <c r="Q4398" s="11"/>
      <c r="R4398" s="11"/>
      <c r="S4398" s="11"/>
    </row>
    <row r="4399" spans="1:19" s="9" customFormat="1" x14ac:dyDescent="0.25">
      <c r="A4399" s="10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  <c r="Q4399" s="11"/>
      <c r="R4399" s="11"/>
      <c r="S4399" s="11"/>
    </row>
    <row r="4400" spans="1:19" s="9" customFormat="1" x14ac:dyDescent="0.25">
      <c r="A4400" s="10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  <c r="Q4400" s="11"/>
      <c r="R4400" s="11"/>
      <c r="S4400" s="11"/>
    </row>
    <row r="4401" spans="1:19" s="9" customFormat="1" x14ac:dyDescent="0.25">
      <c r="A4401" s="10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  <c r="Q4401" s="11"/>
      <c r="R4401" s="11"/>
      <c r="S4401" s="11"/>
    </row>
    <row r="4402" spans="1:19" s="9" customFormat="1" x14ac:dyDescent="0.25">
      <c r="A4402" s="10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  <c r="Q4402" s="11"/>
      <c r="R4402" s="11"/>
      <c r="S4402" s="11"/>
    </row>
    <row r="4403" spans="1:19" s="9" customFormat="1" x14ac:dyDescent="0.25">
      <c r="A4403" s="10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  <c r="Q4403" s="11"/>
      <c r="R4403" s="11"/>
      <c r="S4403" s="11"/>
    </row>
    <row r="4404" spans="1:19" s="9" customFormat="1" x14ac:dyDescent="0.25">
      <c r="A4404" s="10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  <c r="Q4404" s="11"/>
      <c r="R4404" s="11"/>
      <c r="S4404" s="11"/>
    </row>
    <row r="4405" spans="1:19" s="9" customFormat="1" x14ac:dyDescent="0.25">
      <c r="A4405" s="10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  <c r="Q4405" s="11"/>
      <c r="R4405" s="11"/>
      <c r="S4405" s="11"/>
    </row>
    <row r="4406" spans="1:19" s="9" customFormat="1" x14ac:dyDescent="0.25">
      <c r="A4406" s="10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  <c r="Q4406" s="11"/>
      <c r="R4406" s="11"/>
      <c r="S4406" s="11"/>
    </row>
    <row r="4407" spans="1:19" s="9" customFormat="1" x14ac:dyDescent="0.25">
      <c r="A4407" s="10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  <c r="Q4407" s="11"/>
      <c r="R4407" s="11"/>
      <c r="S4407" s="11"/>
    </row>
    <row r="4408" spans="1:19" s="9" customFormat="1" x14ac:dyDescent="0.25">
      <c r="A4408" s="10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  <c r="Q4408" s="11"/>
      <c r="R4408" s="11"/>
      <c r="S4408" s="11"/>
    </row>
    <row r="4409" spans="1:19" s="9" customFormat="1" x14ac:dyDescent="0.25">
      <c r="A4409" s="10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  <c r="Q4409" s="11"/>
      <c r="R4409" s="11"/>
      <c r="S4409" s="11"/>
    </row>
    <row r="4410" spans="1:19" s="9" customFormat="1" x14ac:dyDescent="0.25">
      <c r="A4410" s="10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  <c r="Q4410" s="11"/>
      <c r="R4410" s="11"/>
      <c r="S4410" s="11"/>
    </row>
    <row r="4411" spans="1:19" s="9" customFormat="1" x14ac:dyDescent="0.25">
      <c r="A4411" s="10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  <c r="Q4411" s="11"/>
      <c r="R4411" s="11"/>
      <c r="S4411" s="11"/>
    </row>
    <row r="4412" spans="1:19" s="9" customFormat="1" x14ac:dyDescent="0.25">
      <c r="A4412" s="10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  <c r="Q4412" s="11"/>
      <c r="R4412" s="11"/>
      <c r="S4412" s="11"/>
    </row>
    <row r="4413" spans="1:19" s="9" customFormat="1" x14ac:dyDescent="0.25">
      <c r="A4413" s="10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  <c r="Q4413" s="11"/>
      <c r="R4413" s="11"/>
      <c r="S4413" s="11"/>
    </row>
    <row r="4414" spans="1:19" s="9" customFormat="1" x14ac:dyDescent="0.25">
      <c r="A4414" s="10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  <c r="Q4414" s="11"/>
      <c r="R4414" s="11"/>
      <c r="S4414" s="11"/>
    </row>
    <row r="4415" spans="1:19" s="9" customFormat="1" x14ac:dyDescent="0.25">
      <c r="A4415" s="10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  <c r="Q4415" s="11"/>
      <c r="R4415" s="11"/>
      <c r="S4415" s="11"/>
    </row>
    <row r="4416" spans="1:19" s="9" customFormat="1" x14ac:dyDescent="0.25">
      <c r="A4416" s="10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  <c r="Q4416" s="11"/>
      <c r="R4416" s="11"/>
      <c r="S4416" s="11"/>
    </row>
    <row r="4417" spans="1:19" s="9" customFormat="1" x14ac:dyDescent="0.25">
      <c r="A4417" s="10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  <c r="Q4417" s="11"/>
      <c r="R4417" s="11"/>
      <c r="S4417" s="11"/>
    </row>
    <row r="4418" spans="1:19" s="9" customFormat="1" x14ac:dyDescent="0.25">
      <c r="A4418" s="10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  <c r="Q4418" s="11"/>
      <c r="R4418" s="11"/>
      <c r="S4418" s="11"/>
    </row>
    <row r="4419" spans="1:19" s="9" customFormat="1" x14ac:dyDescent="0.25">
      <c r="A4419" s="10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  <c r="Q4419" s="11"/>
      <c r="R4419" s="11"/>
      <c r="S4419" s="11"/>
    </row>
    <row r="4420" spans="1:19" s="9" customFormat="1" x14ac:dyDescent="0.25">
      <c r="A4420" s="10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  <c r="Q4420" s="11"/>
      <c r="R4420" s="11"/>
      <c r="S4420" s="11"/>
    </row>
    <row r="4421" spans="1:19" s="9" customFormat="1" x14ac:dyDescent="0.25">
      <c r="A4421" s="10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  <c r="Q4421" s="11"/>
      <c r="R4421" s="11"/>
      <c r="S4421" s="11"/>
    </row>
    <row r="4422" spans="1:19" s="9" customFormat="1" x14ac:dyDescent="0.25">
      <c r="A4422" s="10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  <c r="Q4422" s="11"/>
      <c r="R4422" s="11"/>
      <c r="S4422" s="11"/>
    </row>
    <row r="4423" spans="1:19" s="9" customFormat="1" x14ac:dyDescent="0.25">
      <c r="A4423" s="10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  <c r="Q4423" s="11"/>
      <c r="R4423" s="11"/>
      <c r="S4423" s="11"/>
    </row>
    <row r="4424" spans="1:19" s="9" customFormat="1" x14ac:dyDescent="0.25">
      <c r="A4424" s="10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  <c r="Q4424" s="11"/>
      <c r="R4424" s="11"/>
      <c r="S4424" s="11"/>
    </row>
    <row r="4425" spans="1:19" s="9" customFormat="1" x14ac:dyDescent="0.25">
      <c r="A4425" s="10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  <c r="Q4425" s="11"/>
      <c r="R4425" s="11"/>
      <c r="S4425" s="11"/>
    </row>
    <row r="4426" spans="1:19" s="9" customFormat="1" x14ac:dyDescent="0.25">
      <c r="A4426" s="10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  <c r="Q4426" s="11"/>
      <c r="R4426" s="11"/>
      <c r="S4426" s="11"/>
    </row>
    <row r="4427" spans="1:19" s="9" customFormat="1" x14ac:dyDescent="0.25">
      <c r="A4427" s="10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  <c r="Q4427" s="11"/>
      <c r="R4427" s="11"/>
      <c r="S4427" s="11"/>
    </row>
    <row r="4428" spans="1:19" s="9" customFormat="1" x14ac:dyDescent="0.25">
      <c r="A4428" s="10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  <c r="Q4428" s="11"/>
      <c r="R4428" s="11"/>
      <c r="S4428" s="11"/>
    </row>
    <row r="4429" spans="1:19" s="9" customFormat="1" x14ac:dyDescent="0.25">
      <c r="A4429" s="10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  <c r="Q4429" s="11"/>
      <c r="R4429" s="11"/>
      <c r="S4429" s="11"/>
    </row>
    <row r="4430" spans="1:19" s="9" customFormat="1" x14ac:dyDescent="0.25">
      <c r="A4430" s="10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  <c r="Q4430" s="11"/>
      <c r="R4430" s="11"/>
      <c r="S4430" s="11"/>
    </row>
    <row r="4431" spans="1:19" s="9" customFormat="1" x14ac:dyDescent="0.25">
      <c r="A4431" s="10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  <c r="Q4431" s="11"/>
      <c r="R4431" s="11"/>
      <c r="S4431" s="11"/>
    </row>
    <row r="4432" spans="1:19" s="9" customFormat="1" x14ac:dyDescent="0.25">
      <c r="A4432" s="10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  <c r="Q4432" s="11"/>
      <c r="R4432" s="11"/>
      <c r="S4432" s="11"/>
    </row>
    <row r="4433" spans="1:19" s="9" customFormat="1" x14ac:dyDescent="0.25">
      <c r="A4433" s="10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  <c r="Q4433" s="11"/>
      <c r="R4433" s="11"/>
      <c r="S4433" s="11"/>
    </row>
    <row r="4434" spans="1:19" s="9" customFormat="1" x14ac:dyDescent="0.25">
      <c r="A4434" s="10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  <c r="Q4434" s="11"/>
      <c r="R4434" s="11"/>
      <c r="S4434" s="11"/>
    </row>
    <row r="4435" spans="1:19" s="9" customFormat="1" x14ac:dyDescent="0.25">
      <c r="A4435" s="10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  <c r="Q4435" s="11"/>
      <c r="R4435" s="11"/>
      <c r="S4435" s="11"/>
    </row>
    <row r="4436" spans="1:19" s="9" customFormat="1" x14ac:dyDescent="0.25">
      <c r="A4436" s="10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  <c r="Q4436" s="11"/>
      <c r="R4436" s="11"/>
      <c r="S4436" s="11"/>
    </row>
    <row r="4437" spans="1:19" s="9" customFormat="1" x14ac:dyDescent="0.25">
      <c r="A4437" s="10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  <c r="Q4437" s="11"/>
      <c r="R4437" s="11"/>
      <c r="S4437" s="11"/>
    </row>
    <row r="4438" spans="1:19" s="9" customFormat="1" x14ac:dyDescent="0.25">
      <c r="A4438" s="10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  <c r="Q4438" s="11"/>
      <c r="R4438" s="11"/>
      <c r="S4438" s="11"/>
    </row>
    <row r="4439" spans="1:19" s="9" customFormat="1" x14ac:dyDescent="0.25">
      <c r="A4439" s="10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  <c r="Q4439" s="11"/>
      <c r="R4439" s="11"/>
      <c r="S4439" s="11"/>
    </row>
    <row r="4440" spans="1:19" s="9" customFormat="1" x14ac:dyDescent="0.25">
      <c r="A4440" s="10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  <c r="Q4440" s="11"/>
      <c r="R4440" s="11"/>
      <c r="S4440" s="11"/>
    </row>
    <row r="4441" spans="1:19" s="9" customFormat="1" x14ac:dyDescent="0.25">
      <c r="A4441" s="10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  <c r="Q4441" s="11"/>
      <c r="R4441" s="11"/>
      <c r="S4441" s="11"/>
    </row>
    <row r="4442" spans="1:19" s="9" customFormat="1" x14ac:dyDescent="0.25">
      <c r="A4442" s="10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  <c r="Q4442" s="11"/>
      <c r="R4442" s="11"/>
      <c r="S4442" s="11"/>
    </row>
    <row r="4443" spans="1:19" s="9" customFormat="1" x14ac:dyDescent="0.25">
      <c r="A4443" s="10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  <c r="Q4443" s="11"/>
      <c r="R4443" s="11"/>
      <c r="S4443" s="11"/>
    </row>
    <row r="4444" spans="1:19" s="9" customFormat="1" x14ac:dyDescent="0.25">
      <c r="A4444" s="10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  <c r="Q4444" s="11"/>
      <c r="R4444" s="11"/>
      <c r="S4444" s="11"/>
    </row>
    <row r="4445" spans="1:19" s="9" customFormat="1" x14ac:dyDescent="0.25">
      <c r="A4445" s="10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  <c r="Q4445" s="11"/>
      <c r="R4445" s="11"/>
      <c r="S4445" s="11"/>
    </row>
    <row r="4446" spans="1:19" s="9" customFormat="1" x14ac:dyDescent="0.25">
      <c r="A4446" s="10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  <c r="Q4446" s="11"/>
      <c r="R4446" s="11"/>
      <c r="S4446" s="11"/>
    </row>
    <row r="4447" spans="1:19" s="9" customFormat="1" x14ac:dyDescent="0.25">
      <c r="A4447" s="10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  <c r="Q4447" s="11"/>
      <c r="R4447" s="11"/>
      <c r="S4447" s="11"/>
    </row>
    <row r="4448" spans="1:19" s="9" customFormat="1" x14ac:dyDescent="0.25">
      <c r="A4448" s="10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  <c r="Q4448" s="11"/>
      <c r="R4448" s="11"/>
      <c r="S4448" s="11"/>
    </row>
    <row r="4449" spans="1:19" s="9" customFormat="1" x14ac:dyDescent="0.25">
      <c r="A4449" s="10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  <c r="Q4449" s="11"/>
      <c r="R4449" s="11"/>
      <c r="S4449" s="11"/>
    </row>
    <row r="4450" spans="1:19" s="9" customFormat="1" x14ac:dyDescent="0.25">
      <c r="A4450" s="10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  <c r="Q4450" s="11"/>
      <c r="R4450" s="11"/>
      <c r="S4450" s="11"/>
    </row>
    <row r="4451" spans="1:19" s="9" customFormat="1" x14ac:dyDescent="0.25">
      <c r="A4451" s="10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  <c r="Q4451" s="11"/>
      <c r="R4451" s="11"/>
      <c r="S4451" s="11"/>
    </row>
    <row r="4452" spans="1:19" s="9" customFormat="1" x14ac:dyDescent="0.25">
      <c r="A4452" s="10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  <c r="Q4452" s="11"/>
      <c r="R4452" s="11"/>
      <c r="S4452" s="11"/>
    </row>
    <row r="4453" spans="1:19" s="9" customFormat="1" x14ac:dyDescent="0.25">
      <c r="A4453" s="10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  <c r="Q4453" s="11"/>
      <c r="R4453" s="11"/>
      <c r="S4453" s="11"/>
    </row>
    <row r="4454" spans="1:19" s="9" customFormat="1" x14ac:dyDescent="0.25">
      <c r="A4454" s="10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  <c r="Q4454" s="11"/>
      <c r="R4454" s="11"/>
      <c r="S4454" s="11"/>
    </row>
    <row r="4455" spans="1:19" s="9" customFormat="1" x14ac:dyDescent="0.25">
      <c r="A4455" s="10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  <c r="Q4455" s="11"/>
      <c r="R4455" s="11"/>
      <c r="S4455" s="11"/>
    </row>
    <row r="4456" spans="1:19" s="9" customFormat="1" x14ac:dyDescent="0.25">
      <c r="A4456" s="10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  <c r="Q4456" s="11"/>
      <c r="R4456" s="11"/>
      <c r="S4456" s="11"/>
    </row>
    <row r="4457" spans="1:19" s="9" customFormat="1" x14ac:dyDescent="0.25">
      <c r="A4457" s="10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  <c r="Q4457" s="11"/>
      <c r="R4457" s="11"/>
      <c r="S4457" s="11"/>
    </row>
    <row r="4458" spans="1:19" s="9" customFormat="1" x14ac:dyDescent="0.25">
      <c r="A4458" s="10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  <c r="Q4458" s="11"/>
      <c r="R4458" s="11"/>
      <c r="S4458" s="11"/>
    </row>
    <row r="4459" spans="1:19" s="9" customFormat="1" x14ac:dyDescent="0.25">
      <c r="A4459" s="10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  <c r="Q4459" s="11"/>
      <c r="R4459" s="11"/>
      <c r="S4459" s="11"/>
    </row>
    <row r="4460" spans="1:19" s="9" customFormat="1" x14ac:dyDescent="0.25">
      <c r="A4460" s="10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  <c r="Q4460" s="11"/>
      <c r="R4460" s="11"/>
      <c r="S4460" s="11"/>
    </row>
    <row r="4461" spans="1:19" s="9" customFormat="1" x14ac:dyDescent="0.25">
      <c r="A4461" s="10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  <c r="Q4461" s="11"/>
      <c r="R4461" s="11"/>
      <c r="S4461" s="11"/>
    </row>
    <row r="4462" spans="1:19" s="9" customFormat="1" x14ac:dyDescent="0.25">
      <c r="A4462" s="10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  <c r="Q4462" s="11"/>
      <c r="R4462" s="11"/>
      <c r="S4462" s="11"/>
    </row>
    <row r="4463" spans="1:19" s="9" customFormat="1" x14ac:dyDescent="0.25">
      <c r="A4463" s="10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  <c r="Q4463" s="11"/>
      <c r="R4463" s="11"/>
      <c r="S4463" s="11"/>
    </row>
    <row r="4464" spans="1:19" s="9" customFormat="1" x14ac:dyDescent="0.25">
      <c r="A4464" s="10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  <c r="Q4464" s="11"/>
      <c r="R4464" s="11"/>
      <c r="S4464" s="11"/>
    </row>
    <row r="4465" spans="1:19" s="9" customFormat="1" x14ac:dyDescent="0.25">
      <c r="A4465" s="10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  <c r="Q4465" s="11"/>
      <c r="R4465" s="11"/>
      <c r="S4465" s="11"/>
    </row>
    <row r="4466" spans="1:19" s="9" customFormat="1" x14ac:dyDescent="0.25">
      <c r="A4466" s="10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  <c r="Q4466" s="11"/>
      <c r="R4466" s="11"/>
      <c r="S4466" s="11"/>
    </row>
    <row r="4467" spans="1:19" s="9" customFormat="1" x14ac:dyDescent="0.25">
      <c r="A4467" s="10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  <c r="Q4467" s="11"/>
      <c r="R4467" s="11"/>
      <c r="S4467" s="11"/>
    </row>
    <row r="4468" spans="1:19" s="9" customFormat="1" x14ac:dyDescent="0.25">
      <c r="A4468" s="10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  <c r="Q4468" s="11"/>
      <c r="R4468" s="11"/>
      <c r="S4468" s="11"/>
    </row>
    <row r="4469" spans="1:19" s="9" customFormat="1" x14ac:dyDescent="0.25">
      <c r="A4469" s="10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  <c r="Q4469" s="11"/>
      <c r="R4469" s="11"/>
      <c r="S4469" s="11"/>
    </row>
    <row r="4470" spans="1:19" s="9" customFormat="1" x14ac:dyDescent="0.25">
      <c r="A4470" s="10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  <c r="Q4470" s="11"/>
      <c r="R4470" s="11"/>
      <c r="S4470" s="11"/>
    </row>
    <row r="4471" spans="1:19" s="9" customFormat="1" x14ac:dyDescent="0.25">
      <c r="A4471" s="10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  <c r="Q4471" s="11"/>
      <c r="R4471" s="11"/>
      <c r="S4471" s="11"/>
    </row>
    <row r="4472" spans="1:19" s="9" customFormat="1" x14ac:dyDescent="0.25">
      <c r="A4472" s="10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  <c r="Q4472" s="11"/>
      <c r="R4472" s="11"/>
      <c r="S4472" s="11"/>
    </row>
    <row r="4473" spans="1:19" s="9" customFormat="1" x14ac:dyDescent="0.25">
      <c r="A4473" s="10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  <c r="Q4473" s="11"/>
      <c r="R4473" s="11"/>
      <c r="S4473" s="11"/>
    </row>
    <row r="4474" spans="1:19" s="9" customFormat="1" x14ac:dyDescent="0.25">
      <c r="A4474" s="10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  <c r="Q4474" s="11"/>
      <c r="R4474" s="11"/>
      <c r="S4474" s="11"/>
    </row>
    <row r="4475" spans="1:19" s="9" customFormat="1" x14ac:dyDescent="0.25">
      <c r="A4475" s="10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  <c r="Q4475" s="11"/>
      <c r="R4475" s="11"/>
      <c r="S4475" s="11"/>
    </row>
    <row r="4476" spans="1:19" s="9" customFormat="1" x14ac:dyDescent="0.25">
      <c r="A4476" s="10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  <c r="Q4476" s="11"/>
      <c r="R4476" s="11"/>
      <c r="S4476" s="11"/>
    </row>
    <row r="4477" spans="1:19" s="9" customFormat="1" x14ac:dyDescent="0.25">
      <c r="A4477" s="10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  <c r="Q4477" s="11"/>
      <c r="R4477" s="11"/>
      <c r="S4477" s="11"/>
    </row>
    <row r="4478" spans="1:19" s="9" customFormat="1" x14ac:dyDescent="0.25">
      <c r="A4478" s="10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  <c r="Q4478" s="11"/>
      <c r="R4478" s="11"/>
      <c r="S4478" s="11"/>
    </row>
    <row r="4479" spans="1:19" s="9" customFormat="1" x14ac:dyDescent="0.25">
      <c r="A4479" s="10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  <c r="Q4479" s="11"/>
      <c r="R4479" s="11"/>
      <c r="S4479" s="11"/>
    </row>
    <row r="4480" spans="1:19" s="9" customFormat="1" x14ac:dyDescent="0.25">
      <c r="A4480" s="10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  <c r="Q4480" s="11"/>
      <c r="R4480" s="11"/>
      <c r="S4480" s="11"/>
    </row>
    <row r="4481" spans="1:19" s="9" customFormat="1" x14ac:dyDescent="0.25">
      <c r="A4481" s="10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  <c r="Q4481" s="11"/>
      <c r="R4481" s="11"/>
      <c r="S4481" s="11"/>
    </row>
    <row r="4482" spans="1:19" s="9" customFormat="1" x14ac:dyDescent="0.25">
      <c r="A4482" s="10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  <c r="Q4482" s="11"/>
      <c r="R4482" s="11"/>
      <c r="S4482" s="11"/>
    </row>
    <row r="4483" spans="1:19" s="9" customFormat="1" x14ac:dyDescent="0.25">
      <c r="A4483" s="10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  <c r="Q4483" s="11"/>
      <c r="R4483" s="11"/>
      <c r="S4483" s="11"/>
    </row>
    <row r="4484" spans="1:19" s="9" customFormat="1" x14ac:dyDescent="0.25">
      <c r="A4484" s="10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  <c r="Q4484" s="11"/>
      <c r="R4484" s="11"/>
      <c r="S4484" s="11"/>
    </row>
    <row r="4485" spans="1:19" s="9" customFormat="1" x14ac:dyDescent="0.25">
      <c r="A4485" s="10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  <c r="Q4485" s="11"/>
      <c r="R4485" s="11"/>
      <c r="S4485" s="11"/>
    </row>
    <row r="4486" spans="1:19" s="9" customFormat="1" x14ac:dyDescent="0.25">
      <c r="A4486" s="10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  <c r="Q4486" s="11"/>
      <c r="R4486" s="11"/>
      <c r="S4486" s="11"/>
    </row>
    <row r="4487" spans="1:19" s="9" customFormat="1" x14ac:dyDescent="0.25">
      <c r="A4487" s="10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  <c r="Q4487" s="11"/>
      <c r="R4487" s="11"/>
      <c r="S4487" s="11"/>
    </row>
    <row r="4488" spans="1:19" s="9" customFormat="1" x14ac:dyDescent="0.25">
      <c r="A4488" s="10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  <c r="Q4488" s="11"/>
      <c r="R4488" s="11"/>
      <c r="S4488" s="11"/>
    </row>
    <row r="4489" spans="1:19" s="9" customFormat="1" x14ac:dyDescent="0.25">
      <c r="A4489" s="10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  <c r="Q4489" s="11"/>
      <c r="R4489" s="11"/>
      <c r="S4489" s="11"/>
    </row>
    <row r="4490" spans="1:19" s="9" customFormat="1" x14ac:dyDescent="0.25">
      <c r="A4490" s="10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  <c r="Q4490" s="11"/>
      <c r="R4490" s="11"/>
      <c r="S4490" s="11"/>
    </row>
    <row r="4491" spans="1:19" s="9" customFormat="1" x14ac:dyDescent="0.25">
      <c r="A4491" s="10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  <c r="Q4491" s="11"/>
      <c r="R4491" s="11"/>
      <c r="S4491" s="11"/>
    </row>
    <row r="4492" spans="1:19" s="9" customFormat="1" x14ac:dyDescent="0.25">
      <c r="A4492" s="10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  <c r="Q4492" s="11"/>
      <c r="R4492" s="11"/>
      <c r="S4492" s="11"/>
    </row>
    <row r="4493" spans="1:19" s="9" customFormat="1" x14ac:dyDescent="0.25">
      <c r="A4493" s="10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  <c r="Q4493" s="11"/>
      <c r="R4493" s="11"/>
      <c r="S4493" s="11"/>
    </row>
    <row r="4494" spans="1:19" s="9" customFormat="1" x14ac:dyDescent="0.25">
      <c r="A4494" s="10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  <c r="Q4494" s="11"/>
      <c r="R4494" s="11"/>
      <c r="S4494" s="11"/>
    </row>
    <row r="4495" spans="1:19" s="9" customFormat="1" x14ac:dyDescent="0.25">
      <c r="A4495" s="10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  <c r="Q4495" s="11"/>
      <c r="R4495" s="11"/>
      <c r="S4495" s="11"/>
    </row>
    <row r="4496" spans="1:19" s="9" customFormat="1" x14ac:dyDescent="0.25">
      <c r="A4496" s="10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  <c r="Q4496" s="11"/>
      <c r="R4496" s="11"/>
      <c r="S4496" s="11"/>
    </row>
    <row r="4497" spans="1:19" s="9" customFormat="1" x14ac:dyDescent="0.25">
      <c r="A4497" s="10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  <c r="Q4497" s="11"/>
      <c r="R4497" s="11"/>
      <c r="S4497" s="11"/>
    </row>
    <row r="4498" spans="1:19" s="9" customFormat="1" x14ac:dyDescent="0.25">
      <c r="A4498" s="10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  <c r="Q4498" s="11"/>
      <c r="R4498" s="11"/>
      <c r="S4498" s="11"/>
    </row>
    <row r="4499" spans="1:19" s="9" customFormat="1" x14ac:dyDescent="0.25">
      <c r="A4499" s="10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  <c r="Q4499" s="11"/>
      <c r="R4499" s="11"/>
      <c r="S4499" s="11"/>
    </row>
    <row r="4500" spans="1:19" s="9" customFormat="1" x14ac:dyDescent="0.25">
      <c r="A4500" s="10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  <c r="Q4500" s="11"/>
      <c r="R4500" s="11"/>
      <c r="S4500" s="11"/>
    </row>
    <row r="4501" spans="1:19" s="9" customFormat="1" x14ac:dyDescent="0.25">
      <c r="A4501" s="10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  <c r="Q4501" s="11"/>
      <c r="R4501" s="11"/>
      <c r="S4501" s="11"/>
    </row>
    <row r="4502" spans="1:19" s="9" customFormat="1" x14ac:dyDescent="0.25">
      <c r="A4502" s="10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  <c r="Q4502" s="11"/>
      <c r="R4502" s="11"/>
      <c r="S4502" s="11"/>
    </row>
    <row r="4503" spans="1:19" s="9" customFormat="1" x14ac:dyDescent="0.25">
      <c r="A4503" s="10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  <c r="Q4503" s="11"/>
      <c r="R4503" s="11"/>
      <c r="S4503" s="11"/>
    </row>
    <row r="4504" spans="1:19" s="9" customFormat="1" x14ac:dyDescent="0.25">
      <c r="A4504" s="10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  <c r="Q4504" s="11"/>
      <c r="R4504" s="11"/>
      <c r="S4504" s="11"/>
    </row>
    <row r="4505" spans="1:19" s="9" customFormat="1" x14ac:dyDescent="0.25">
      <c r="A4505" s="10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  <c r="Q4505" s="11"/>
      <c r="R4505" s="11"/>
      <c r="S4505" s="11"/>
    </row>
    <row r="4506" spans="1:19" s="9" customFormat="1" x14ac:dyDescent="0.25">
      <c r="A4506" s="10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  <c r="Q4506" s="11"/>
      <c r="R4506" s="11"/>
      <c r="S4506" s="11"/>
    </row>
    <row r="4507" spans="1:19" s="9" customFormat="1" x14ac:dyDescent="0.25">
      <c r="A4507" s="10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  <c r="Q4507" s="11"/>
      <c r="R4507" s="11"/>
      <c r="S4507" s="11"/>
    </row>
    <row r="4508" spans="1:19" s="9" customFormat="1" x14ac:dyDescent="0.25">
      <c r="A4508" s="10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  <c r="Q4508" s="11"/>
      <c r="R4508" s="11"/>
      <c r="S4508" s="11"/>
    </row>
    <row r="4509" spans="1:19" s="9" customFormat="1" x14ac:dyDescent="0.25">
      <c r="A4509" s="10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  <c r="Q4509" s="11"/>
      <c r="R4509" s="11"/>
      <c r="S4509" s="11"/>
    </row>
    <row r="4510" spans="1:19" s="9" customFormat="1" x14ac:dyDescent="0.25">
      <c r="A4510" s="10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  <c r="Q4510" s="11"/>
      <c r="R4510" s="11"/>
      <c r="S4510" s="11"/>
    </row>
    <row r="4511" spans="1:19" s="9" customFormat="1" x14ac:dyDescent="0.25">
      <c r="A4511" s="10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  <c r="Q4511" s="11"/>
      <c r="R4511" s="11"/>
      <c r="S4511" s="11"/>
    </row>
    <row r="4512" spans="1:19" s="9" customFormat="1" x14ac:dyDescent="0.25">
      <c r="A4512" s="10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  <c r="Q4512" s="11"/>
      <c r="R4512" s="11"/>
      <c r="S4512" s="11"/>
    </row>
    <row r="4513" spans="1:19" s="9" customFormat="1" x14ac:dyDescent="0.25">
      <c r="A4513" s="10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  <c r="Q4513" s="11"/>
      <c r="R4513" s="11"/>
      <c r="S4513" s="11"/>
    </row>
    <row r="4514" spans="1:19" s="9" customFormat="1" x14ac:dyDescent="0.25">
      <c r="A4514" s="10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  <c r="Q4514" s="11"/>
      <c r="R4514" s="11"/>
      <c r="S4514" s="11"/>
    </row>
    <row r="4515" spans="1:19" s="9" customFormat="1" x14ac:dyDescent="0.25">
      <c r="A4515" s="10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  <c r="Q4515" s="11"/>
      <c r="R4515" s="11"/>
      <c r="S4515" s="11"/>
    </row>
    <row r="4516" spans="1:19" s="9" customFormat="1" x14ac:dyDescent="0.25">
      <c r="A4516" s="10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  <c r="Q4516" s="11"/>
      <c r="R4516" s="11"/>
      <c r="S4516" s="11"/>
    </row>
    <row r="4517" spans="1:19" s="9" customFormat="1" x14ac:dyDescent="0.25">
      <c r="A4517" s="10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  <c r="Q4517" s="11"/>
      <c r="R4517" s="11"/>
      <c r="S4517" s="11"/>
    </row>
    <row r="4518" spans="1:19" s="9" customFormat="1" x14ac:dyDescent="0.25">
      <c r="A4518" s="10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  <c r="Q4518" s="11"/>
      <c r="R4518" s="11"/>
      <c r="S4518" s="11"/>
    </row>
    <row r="4519" spans="1:19" s="9" customFormat="1" x14ac:dyDescent="0.25">
      <c r="A4519" s="10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  <c r="Q4519" s="11"/>
      <c r="R4519" s="11"/>
      <c r="S4519" s="11"/>
    </row>
    <row r="4520" spans="1:19" s="9" customFormat="1" x14ac:dyDescent="0.25">
      <c r="A4520" s="10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  <c r="Q4520" s="11"/>
      <c r="R4520" s="11"/>
      <c r="S4520" s="11"/>
    </row>
    <row r="4521" spans="1:19" s="9" customFormat="1" x14ac:dyDescent="0.25">
      <c r="A4521" s="10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  <c r="Q4521" s="11"/>
      <c r="R4521" s="11"/>
      <c r="S4521" s="11"/>
    </row>
    <row r="4522" spans="1:19" s="9" customFormat="1" x14ac:dyDescent="0.25">
      <c r="A4522" s="10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  <c r="Q4522" s="11"/>
      <c r="R4522" s="11"/>
      <c r="S4522" s="11"/>
    </row>
    <row r="4523" spans="1:19" s="9" customFormat="1" x14ac:dyDescent="0.25">
      <c r="A4523" s="10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  <c r="Q4523" s="11"/>
      <c r="R4523" s="11"/>
      <c r="S4523" s="11"/>
    </row>
    <row r="4524" spans="1:19" s="9" customFormat="1" x14ac:dyDescent="0.25">
      <c r="A4524" s="10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  <c r="Q4524" s="11"/>
      <c r="R4524" s="11"/>
      <c r="S4524" s="11"/>
    </row>
    <row r="4525" spans="1:19" s="9" customFormat="1" x14ac:dyDescent="0.25">
      <c r="A4525" s="10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  <c r="Q4525" s="11"/>
      <c r="R4525" s="11"/>
      <c r="S4525" s="11"/>
    </row>
    <row r="4526" spans="1:19" s="9" customFormat="1" x14ac:dyDescent="0.25">
      <c r="A4526" s="10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  <c r="Q4526" s="11"/>
      <c r="R4526" s="11"/>
      <c r="S4526" s="11"/>
    </row>
    <row r="4527" spans="1:19" s="9" customFormat="1" x14ac:dyDescent="0.25">
      <c r="A4527" s="10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  <c r="Q4527" s="11"/>
      <c r="R4527" s="11"/>
      <c r="S4527" s="11"/>
    </row>
    <row r="4528" spans="1:19" s="9" customFormat="1" x14ac:dyDescent="0.25">
      <c r="A4528" s="10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  <c r="Q4528" s="11"/>
      <c r="R4528" s="11"/>
      <c r="S4528" s="11"/>
    </row>
    <row r="4529" spans="1:19" s="9" customFormat="1" x14ac:dyDescent="0.25">
      <c r="A4529" s="10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  <c r="Q4529" s="11"/>
      <c r="R4529" s="11"/>
      <c r="S4529" s="11"/>
    </row>
    <row r="4530" spans="1:19" s="9" customFormat="1" x14ac:dyDescent="0.25">
      <c r="A4530" s="10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  <c r="Q4530" s="11"/>
      <c r="R4530" s="11"/>
      <c r="S4530" s="11"/>
    </row>
    <row r="4531" spans="1:19" s="9" customFormat="1" x14ac:dyDescent="0.25">
      <c r="A4531" s="10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  <c r="Q4531" s="11"/>
      <c r="R4531" s="11"/>
      <c r="S4531" s="11"/>
    </row>
    <row r="4532" spans="1:19" s="9" customFormat="1" x14ac:dyDescent="0.25">
      <c r="A4532" s="10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  <c r="Q4532" s="11"/>
      <c r="R4532" s="11"/>
      <c r="S4532" s="11"/>
    </row>
    <row r="4533" spans="1:19" s="9" customFormat="1" x14ac:dyDescent="0.25">
      <c r="A4533" s="10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  <c r="Q4533" s="11"/>
      <c r="R4533" s="11"/>
      <c r="S4533" s="11"/>
    </row>
    <row r="4534" spans="1:19" s="9" customFormat="1" x14ac:dyDescent="0.25">
      <c r="A4534" s="10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  <c r="Q4534" s="11"/>
      <c r="R4534" s="11"/>
      <c r="S4534" s="11"/>
    </row>
    <row r="4535" spans="1:19" s="9" customFormat="1" x14ac:dyDescent="0.25">
      <c r="A4535" s="10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  <c r="Q4535" s="11"/>
      <c r="R4535" s="11"/>
      <c r="S4535" s="11"/>
    </row>
    <row r="4536" spans="1:19" s="9" customFormat="1" x14ac:dyDescent="0.25">
      <c r="A4536" s="10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  <c r="Q4536" s="11"/>
      <c r="R4536" s="11"/>
      <c r="S4536" s="11"/>
    </row>
    <row r="4537" spans="1:19" s="9" customFormat="1" x14ac:dyDescent="0.25">
      <c r="A4537" s="10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  <c r="Q4537" s="11"/>
      <c r="R4537" s="11"/>
      <c r="S4537" s="11"/>
    </row>
    <row r="4538" spans="1:19" s="9" customFormat="1" x14ac:dyDescent="0.25">
      <c r="A4538" s="10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  <c r="Q4538" s="11"/>
      <c r="R4538" s="11"/>
      <c r="S4538" s="11"/>
    </row>
    <row r="4539" spans="1:19" s="9" customFormat="1" x14ac:dyDescent="0.25">
      <c r="A4539" s="10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  <c r="Q4539" s="11"/>
      <c r="R4539" s="11"/>
      <c r="S4539" s="11"/>
    </row>
    <row r="4540" spans="1:19" s="9" customFormat="1" x14ac:dyDescent="0.25">
      <c r="A4540" s="10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  <c r="Q4540" s="11"/>
      <c r="R4540" s="11"/>
      <c r="S4540" s="11"/>
    </row>
    <row r="4541" spans="1:19" s="9" customFormat="1" x14ac:dyDescent="0.25">
      <c r="A4541" s="10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  <c r="Q4541" s="11"/>
      <c r="R4541" s="11"/>
      <c r="S4541" s="11"/>
    </row>
    <row r="4542" spans="1:19" s="9" customFormat="1" x14ac:dyDescent="0.25">
      <c r="A4542" s="10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  <c r="Q4542" s="11"/>
      <c r="R4542" s="11"/>
      <c r="S4542" s="11"/>
    </row>
    <row r="4543" spans="1:19" s="9" customFormat="1" x14ac:dyDescent="0.25">
      <c r="A4543" s="10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  <c r="Q4543" s="11"/>
      <c r="R4543" s="11"/>
      <c r="S4543" s="11"/>
    </row>
    <row r="4544" spans="1:19" s="9" customFormat="1" x14ac:dyDescent="0.25">
      <c r="A4544" s="10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  <c r="Q4544" s="11"/>
      <c r="R4544" s="11"/>
      <c r="S4544" s="11"/>
    </row>
    <row r="4545" spans="1:19" s="9" customFormat="1" x14ac:dyDescent="0.25">
      <c r="A4545" s="10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  <c r="Q4545" s="11"/>
      <c r="R4545" s="11"/>
      <c r="S4545" s="11"/>
    </row>
    <row r="4546" spans="1:19" s="9" customFormat="1" x14ac:dyDescent="0.25">
      <c r="A4546" s="10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  <c r="Q4546" s="11"/>
      <c r="R4546" s="11"/>
      <c r="S4546" s="11"/>
    </row>
    <row r="4547" spans="1:19" s="9" customFormat="1" x14ac:dyDescent="0.25">
      <c r="A4547" s="10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  <c r="Q4547" s="11"/>
      <c r="R4547" s="11"/>
      <c r="S4547" s="11"/>
    </row>
    <row r="4548" spans="1:19" s="9" customFormat="1" x14ac:dyDescent="0.25">
      <c r="A4548" s="10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  <c r="Q4548" s="11"/>
      <c r="R4548" s="11"/>
      <c r="S4548" s="11"/>
    </row>
    <row r="4549" spans="1:19" s="9" customFormat="1" x14ac:dyDescent="0.25">
      <c r="A4549" s="10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  <c r="Q4549" s="11"/>
      <c r="R4549" s="11"/>
      <c r="S4549" s="11"/>
    </row>
    <row r="4550" spans="1:19" s="9" customFormat="1" x14ac:dyDescent="0.25">
      <c r="A4550" s="10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  <c r="Q4550" s="11"/>
      <c r="R4550" s="11"/>
      <c r="S4550" s="11"/>
    </row>
    <row r="4551" spans="1:19" s="9" customFormat="1" x14ac:dyDescent="0.25">
      <c r="A4551" s="10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  <c r="Q4551" s="11"/>
      <c r="R4551" s="11"/>
      <c r="S4551" s="11"/>
    </row>
    <row r="4552" spans="1:19" s="9" customFormat="1" x14ac:dyDescent="0.25">
      <c r="A4552" s="10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  <c r="Q4552" s="11"/>
      <c r="R4552" s="11"/>
      <c r="S4552" s="11"/>
    </row>
    <row r="4553" spans="1:19" s="9" customFormat="1" x14ac:dyDescent="0.25">
      <c r="A4553" s="10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  <c r="Q4553" s="11"/>
      <c r="R4553" s="11"/>
      <c r="S4553" s="11"/>
    </row>
    <row r="4554" spans="1:19" s="9" customFormat="1" x14ac:dyDescent="0.25">
      <c r="A4554" s="10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  <c r="Q4554" s="11"/>
      <c r="R4554" s="11"/>
      <c r="S4554" s="11"/>
    </row>
    <row r="4555" spans="1:19" s="9" customFormat="1" x14ac:dyDescent="0.25">
      <c r="A4555" s="10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  <c r="Q4555" s="11"/>
      <c r="R4555" s="11"/>
      <c r="S4555" s="11"/>
    </row>
    <row r="4556" spans="1:19" s="9" customFormat="1" x14ac:dyDescent="0.25">
      <c r="A4556" s="10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  <c r="Q4556" s="11"/>
      <c r="R4556" s="11"/>
      <c r="S4556" s="11"/>
    </row>
    <row r="4557" spans="1:19" s="9" customFormat="1" x14ac:dyDescent="0.25">
      <c r="A4557" s="10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  <c r="Q4557" s="11"/>
      <c r="R4557" s="11"/>
      <c r="S4557" s="11"/>
    </row>
    <row r="4558" spans="1:19" s="9" customFormat="1" x14ac:dyDescent="0.25">
      <c r="A4558" s="10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  <c r="Q4558" s="11"/>
      <c r="R4558" s="11"/>
      <c r="S4558" s="11"/>
    </row>
    <row r="4559" spans="1:19" s="9" customFormat="1" x14ac:dyDescent="0.25">
      <c r="A4559" s="10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  <c r="Q4559" s="11"/>
      <c r="R4559" s="11"/>
      <c r="S4559" s="11"/>
    </row>
    <row r="4560" spans="1:19" s="9" customFormat="1" x14ac:dyDescent="0.25">
      <c r="A4560" s="10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  <c r="Q4560" s="11"/>
      <c r="R4560" s="11"/>
      <c r="S4560" s="11"/>
    </row>
    <row r="4561" spans="1:19" s="9" customFormat="1" x14ac:dyDescent="0.25">
      <c r="A4561" s="10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  <c r="Q4561" s="11"/>
      <c r="R4561" s="11"/>
      <c r="S4561" s="11"/>
    </row>
    <row r="4562" spans="1:19" s="9" customFormat="1" x14ac:dyDescent="0.25">
      <c r="A4562" s="10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  <c r="Q4562" s="11"/>
      <c r="R4562" s="11"/>
      <c r="S4562" s="11"/>
    </row>
    <row r="4563" spans="1:19" s="9" customFormat="1" x14ac:dyDescent="0.25">
      <c r="A4563" s="10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  <c r="Q4563" s="11"/>
      <c r="R4563" s="11"/>
      <c r="S4563" s="11"/>
    </row>
    <row r="4564" spans="1:19" s="9" customFormat="1" x14ac:dyDescent="0.25">
      <c r="A4564" s="10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  <c r="Q4564" s="11"/>
      <c r="R4564" s="11"/>
      <c r="S4564" s="11"/>
    </row>
    <row r="4565" spans="1:19" s="9" customFormat="1" x14ac:dyDescent="0.25">
      <c r="A4565" s="10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  <c r="Q4565" s="11"/>
      <c r="R4565" s="11"/>
      <c r="S4565" s="11"/>
    </row>
    <row r="4566" spans="1:19" s="9" customFormat="1" x14ac:dyDescent="0.25">
      <c r="A4566" s="10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  <c r="Q4566" s="11"/>
      <c r="R4566" s="11"/>
      <c r="S4566" s="11"/>
    </row>
    <row r="4567" spans="1:19" s="9" customFormat="1" x14ac:dyDescent="0.25">
      <c r="A4567" s="10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  <c r="Q4567" s="11"/>
      <c r="R4567" s="11"/>
      <c r="S4567" s="11"/>
    </row>
    <row r="4568" spans="1:19" s="9" customFormat="1" x14ac:dyDescent="0.25">
      <c r="A4568" s="10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  <c r="Q4568" s="11"/>
      <c r="R4568" s="11"/>
      <c r="S4568" s="11"/>
    </row>
    <row r="4569" spans="1:19" s="9" customFormat="1" x14ac:dyDescent="0.25">
      <c r="A4569" s="10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  <c r="Q4569" s="11"/>
      <c r="R4569" s="11"/>
      <c r="S4569" s="11"/>
    </row>
    <row r="4570" spans="1:19" s="9" customFormat="1" x14ac:dyDescent="0.25">
      <c r="A4570" s="10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  <c r="Q4570" s="11"/>
      <c r="R4570" s="11"/>
      <c r="S4570" s="11"/>
    </row>
    <row r="4571" spans="1:19" s="9" customFormat="1" x14ac:dyDescent="0.25">
      <c r="A4571" s="10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  <c r="Q4571" s="11"/>
      <c r="R4571" s="11"/>
      <c r="S4571" s="11"/>
    </row>
    <row r="4572" spans="1:19" s="9" customFormat="1" x14ac:dyDescent="0.25">
      <c r="A4572" s="10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  <c r="Q4572" s="11"/>
      <c r="R4572" s="11"/>
      <c r="S4572" s="11"/>
    </row>
    <row r="4573" spans="1:19" s="9" customFormat="1" x14ac:dyDescent="0.25">
      <c r="A4573" s="10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  <c r="Q4573" s="11"/>
      <c r="R4573" s="11"/>
      <c r="S4573" s="11"/>
    </row>
    <row r="4574" spans="1:19" s="9" customFormat="1" x14ac:dyDescent="0.25">
      <c r="A4574" s="10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  <c r="Q4574" s="11"/>
      <c r="R4574" s="11"/>
      <c r="S4574" s="11"/>
    </row>
    <row r="4575" spans="1:19" s="9" customFormat="1" x14ac:dyDescent="0.25">
      <c r="A4575" s="10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  <c r="Q4575" s="11"/>
      <c r="R4575" s="11"/>
      <c r="S4575" s="11"/>
    </row>
    <row r="4576" spans="1:19" s="9" customFormat="1" x14ac:dyDescent="0.25">
      <c r="A4576" s="10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  <c r="Q4576" s="11"/>
      <c r="R4576" s="11"/>
      <c r="S4576" s="11"/>
    </row>
    <row r="4577" spans="1:19" s="9" customFormat="1" x14ac:dyDescent="0.25">
      <c r="A4577" s="10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  <c r="Q4577" s="11"/>
      <c r="R4577" s="11"/>
      <c r="S4577" s="11"/>
    </row>
    <row r="4578" spans="1:19" s="9" customFormat="1" x14ac:dyDescent="0.25">
      <c r="A4578" s="10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  <c r="Q4578" s="11"/>
      <c r="R4578" s="11"/>
      <c r="S4578" s="11"/>
    </row>
    <row r="4579" spans="1:19" s="9" customFormat="1" x14ac:dyDescent="0.25">
      <c r="A4579" s="10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  <c r="Q4579" s="11"/>
      <c r="R4579" s="11"/>
      <c r="S4579" s="11"/>
    </row>
    <row r="4580" spans="1:19" s="9" customFormat="1" x14ac:dyDescent="0.25">
      <c r="A4580" s="10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  <c r="Q4580" s="11"/>
      <c r="R4580" s="11"/>
      <c r="S4580" s="11"/>
    </row>
    <row r="4581" spans="1:19" s="9" customFormat="1" x14ac:dyDescent="0.25">
      <c r="A4581" s="10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  <c r="Q4581" s="11"/>
      <c r="R4581" s="11"/>
      <c r="S4581" s="11"/>
    </row>
    <row r="4582" spans="1:19" s="9" customFormat="1" x14ac:dyDescent="0.25">
      <c r="A4582" s="10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  <c r="Q4582" s="11"/>
      <c r="R4582" s="11"/>
      <c r="S4582" s="11"/>
    </row>
    <row r="4583" spans="1:19" s="9" customFormat="1" x14ac:dyDescent="0.25">
      <c r="A4583" s="10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  <c r="Q4583" s="11"/>
      <c r="R4583" s="11"/>
      <c r="S4583" s="11"/>
    </row>
    <row r="4584" spans="1:19" s="9" customFormat="1" x14ac:dyDescent="0.25">
      <c r="A4584" s="10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  <c r="Q4584" s="11"/>
      <c r="R4584" s="11"/>
      <c r="S4584" s="11"/>
    </row>
    <row r="4585" spans="1:19" s="9" customFormat="1" x14ac:dyDescent="0.25">
      <c r="A4585" s="10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  <c r="Q4585" s="11"/>
      <c r="R4585" s="11"/>
      <c r="S4585" s="11"/>
    </row>
    <row r="4586" spans="1:19" s="9" customFormat="1" x14ac:dyDescent="0.25">
      <c r="A4586" s="10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  <c r="Q4586" s="11"/>
      <c r="R4586" s="11"/>
      <c r="S4586" s="11"/>
    </row>
    <row r="4587" spans="1:19" s="9" customFormat="1" x14ac:dyDescent="0.25">
      <c r="A4587" s="10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  <c r="Q4587" s="11"/>
      <c r="R4587" s="11"/>
      <c r="S4587" s="11"/>
    </row>
    <row r="4588" spans="1:19" s="9" customFormat="1" x14ac:dyDescent="0.25">
      <c r="A4588" s="10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  <c r="Q4588" s="11"/>
      <c r="R4588" s="11"/>
      <c r="S4588" s="11"/>
    </row>
    <row r="4589" spans="1:19" s="9" customFormat="1" x14ac:dyDescent="0.25">
      <c r="A4589" s="10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  <c r="Q4589" s="11"/>
      <c r="R4589" s="11"/>
      <c r="S4589" s="11"/>
    </row>
    <row r="4590" spans="1:19" s="9" customFormat="1" x14ac:dyDescent="0.25">
      <c r="A4590" s="10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  <c r="Q4590" s="11"/>
      <c r="R4590" s="11"/>
      <c r="S4590" s="11"/>
    </row>
    <row r="4591" spans="1:19" s="9" customFormat="1" x14ac:dyDescent="0.25">
      <c r="A4591" s="10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  <c r="Q4591" s="11"/>
      <c r="R4591" s="11"/>
      <c r="S4591" s="11"/>
    </row>
    <row r="4592" spans="1:19" s="9" customFormat="1" x14ac:dyDescent="0.25">
      <c r="A4592" s="10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  <c r="Q4592" s="11"/>
      <c r="R4592" s="11"/>
      <c r="S4592" s="11"/>
    </row>
    <row r="4593" spans="1:19" s="9" customFormat="1" x14ac:dyDescent="0.25">
      <c r="A4593" s="10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  <c r="Q4593" s="11"/>
      <c r="R4593" s="11"/>
      <c r="S4593" s="11"/>
    </row>
    <row r="4594" spans="1:19" s="9" customFormat="1" x14ac:dyDescent="0.25">
      <c r="A4594" s="10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  <c r="Q4594" s="11"/>
      <c r="R4594" s="11"/>
      <c r="S4594" s="11"/>
    </row>
    <row r="4595" spans="1:19" s="9" customFormat="1" x14ac:dyDescent="0.25">
      <c r="A4595" s="10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  <c r="Q4595" s="11"/>
      <c r="R4595" s="11"/>
      <c r="S4595" s="11"/>
    </row>
    <row r="4596" spans="1:19" s="9" customFormat="1" x14ac:dyDescent="0.25">
      <c r="A4596" s="10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  <c r="Q4596" s="11"/>
      <c r="R4596" s="11"/>
      <c r="S4596" s="11"/>
    </row>
    <row r="4597" spans="1:19" s="9" customFormat="1" x14ac:dyDescent="0.25">
      <c r="A4597" s="10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  <c r="Q4597" s="11"/>
      <c r="R4597" s="11"/>
      <c r="S4597" s="11"/>
    </row>
    <row r="4598" spans="1:19" s="9" customFormat="1" x14ac:dyDescent="0.25">
      <c r="A4598" s="10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  <c r="Q4598" s="11"/>
      <c r="R4598" s="11"/>
      <c r="S4598" s="11"/>
    </row>
    <row r="4599" spans="1:19" s="9" customFormat="1" x14ac:dyDescent="0.25">
      <c r="A4599" s="10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  <c r="Q4599" s="11"/>
      <c r="R4599" s="11"/>
      <c r="S4599" s="11"/>
    </row>
    <row r="4600" spans="1:19" s="9" customFormat="1" x14ac:dyDescent="0.25">
      <c r="A4600" s="10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  <c r="Q4600" s="11"/>
      <c r="R4600" s="11"/>
      <c r="S4600" s="11"/>
    </row>
    <row r="4601" spans="1:19" s="9" customFormat="1" x14ac:dyDescent="0.25">
      <c r="A4601" s="10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  <c r="Q4601" s="11"/>
      <c r="R4601" s="11"/>
      <c r="S4601" s="11"/>
    </row>
    <row r="4602" spans="1:19" s="9" customFormat="1" x14ac:dyDescent="0.25">
      <c r="A4602" s="10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  <c r="Q4602" s="11"/>
      <c r="R4602" s="11"/>
      <c r="S4602" s="11"/>
    </row>
    <row r="4603" spans="1:19" s="9" customFormat="1" x14ac:dyDescent="0.25">
      <c r="A4603" s="10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  <c r="Q4603" s="11"/>
      <c r="R4603" s="11"/>
      <c r="S4603" s="11"/>
    </row>
    <row r="4604" spans="1:19" s="9" customFormat="1" x14ac:dyDescent="0.25">
      <c r="A4604" s="10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  <c r="Q4604" s="11"/>
      <c r="R4604" s="11"/>
      <c r="S4604" s="11"/>
    </row>
    <row r="4605" spans="1:19" s="9" customFormat="1" x14ac:dyDescent="0.25">
      <c r="A4605" s="10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  <c r="Q4605" s="11"/>
      <c r="R4605" s="11"/>
      <c r="S4605" s="11"/>
    </row>
    <row r="4606" spans="1:19" s="9" customFormat="1" x14ac:dyDescent="0.25">
      <c r="A4606" s="10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  <c r="Q4606" s="11"/>
      <c r="R4606" s="11"/>
      <c r="S4606" s="11"/>
    </row>
    <row r="4607" spans="1:19" s="9" customFormat="1" x14ac:dyDescent="0.25">
      <c r="A4607" s="10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  <c r="Q4607" s="11"/>
      <c r="R4607" s="11"/>
      <c r="S4607" s="11"/>
    </row>
    <row r="4608" spans="1:19" s="9" customFormat="1" x14ac:dyDescent="0.25">
      <c r="A4608" s="10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  <c r="Q4608" s="11"/>
      <c r="R4608" s="11"/>
      <c r="S4608" s="11"/>
    </row>
    <row r="4609" spans="1:19" s="9" customFormat="1" x14ac:dyDescent="0.25">
      <c r="A4609" s="10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  <c r="Q4609" s="11"/>
      <c r="R4609" s="11"/>
      <c r="S4609" s="11"/>
    </row>
    <row r="4610" spans="1:19" s="9" customFormat="1" x14ac:dyDescent="0.25">
      <c r="A4610" s="10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  <c r="Q4610" s="11"/>
      <c r="R4610" s="11"/>
      <c r="S4610" s="11"/>
    </row>
    <row r="4611" spans="1:19" s="9" customFormat="1" x14ac:dyDescent="0.25">
      <c r="A4611" s="10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  <c r="Q4611" s="11"/>
      <c r="R4611" s="11"/>
      <c r="S4611" s="11"/>
    </row>
    <row r="4612" spans="1:19" s="9" customFormat="1" x14ac:dyDescent="0.25">
      <c r="A4612" s="10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  <c r="Q4612" s="11"/>
      <c r="R4612" s="11"/>
      <c r="S4612" s="11"/>
    </row>
    <row r="4613" spans="1:19" s="9" customFormat="1" x14ac:dyDescent="0.25">
      <c r="A4613" s="10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  <c r="Q4613" s="11"/>
      <c r="R4613" s="11"/>
      <c r="S4613" s="11"/>
    </row>
    <row r="4614" spans="1:19" s="9" customFormat="1" x14ac:dyDescent="0.25">
      <c r="A4614" s="10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  <c r="Q4614" s="11"/>
      <c r="R4614" s="11"/>
      <c r="S4614" s="11"/>
    </row>
    <row r="4615" spans="1:19" s="9" customFormat="1" x14ac:dyDescent="0.25">
      <c r="A4615" s="10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  <c r="Q4615" s="11"/>
      <c r="R4615" s="11"/>
      <c r="S4615" s="11"/>
    </row>
    <row r="4616" spans="1:19" s="9" customFormat="1" x14ac:dyDescent="0.25">
      <c r="A4616" s="10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  <c r="Q4616" s="11"/>
      <c r="R4616" s="11"/>
      <c r="S4616" s="11"/>
    </row>
    <row r="4617" spans="1:19" s="9" customFormat="1" x14ac:dyDescent="0.25">
      <c r="A4617" s="10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  <c r="Q4617" s="11"/>
      <c r="R4617" s="11"/>
      <c r="S4617" s="11"/>
    </row>
    <row r="4618" spans="1:19" s="9" customFormat="1" x14ac:dyDescent="0.25">
      <c r="A4618" s="10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  <c r="Q4618" s="11"/>
      <c r="R4618" s="11"/>
      <c r="S4618" s="11"/>
    </row>
    <row r="4619" spans="1:19" s="9" customFormat="1" x14ac:dyDescent="0.25">
      <c r="A4619" s="10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  <c r="Q4619" s="11"/>
      <c r="R4619" s="11"/>
      <c r="S4619" s="11"/>
    </row>
    <row r="4620" spans="1:19" s="9" customFormat="1" x14ac:dyDescent="0.25">
      <c r="A4620" s="10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  <c r="Q4620" s="11"/>
      <c r="R4620" s="11"/>
      <c r="S4620" s="11"/>
    </row>
    <row r="4621" spans="1:19" s="9" customFormat="1" x14ac:dyDescent="0.25">
      <c r="A4621" s="10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  <c r="Q4621" s="11"/>
      <c r="R4621" s="11"/>
      <c r="S4621" s="11"/>
    </row>
    <row r="4622" spans="1:19" s="9" customFormat="1" x14ac:dyDescent="0.25">
      <c r="A4622" s="10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  <c r="Q4622" s="11"/>
      <c r="R4622" s="11"/>
      <c r="S4622" s="11"/>
    </row>
    <row r="4623" spans="1:19" s="9" customFormat="1" x14ac:dyDescent="0.25">
      <c r="A4623" s="10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  <c r="Q4623" s="11"/>
      <c r="R4623" s="11"/>
      <c r="S4623" s="11"/>
    </row>
    <row r="4624" spans="1:19" s="9" customFormat="1" x14ac:dyDescent="0.25">
      <c r="A4624" s="10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  <c r="Q4624" s="11"/>
      <c r="R4624" s="11"/>
      <c r="S4624" s="11"/>
    </row>
    <row r="4625" spans="1:19" s="9" customFormat="1" x14ac:dyDescent="0.25">
      <c r="A4625" s="10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  <c r="Q4625" s="11"/>
      <c r="R4625" s="11"/>
      <c r="S4625" s="11"/>
    </row>
    <row r="4626" spans="1:19" s="9" customFormat="1" x14ac:dyDescent="0.25">
      <c r="A4626" s="10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  <c r="Q4626" s="11"/>
      <c r="R4626" s="11"/>
      <c r="S4626" s="11"/>
    </row>
    <row r="4627" spans="1:19" s="9" customFormat="1" x14ac:dyDescent="0.25">
      <c r="A4627" s="10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  <c r="Q4627" s="11"/>
      <c r="R4627" s="11"/>
      <c r="S4627" s="11"/>
    </row>
    <row r="4628" spans="1:19" s="9" customFormat="1" x14ac:dyDescent="0.25">
      <c r="A4628" s="10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  <c r="Q4628" s="11"/>
      <c r="R4628" s="11"/>
      <c r="S4628" s="11"/>
    </row>
    <row r="4629" spans="1:19" s="9" customFormat="1" x14ac:dyDescent="0.25">
      <c r="A4629" s="10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  <c r="Q4629" s="11"/>
      <c r="R4629" s="11"/>
      <c r="S4629" s="11"/>
    </row>
    <row r="4630" spans="1:19" s="9" customFormat="1" x14ac:dyDescent="0.25">
      <c r="A4630" s="10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  <c r="Q4630" s="11"/>
      <c r="R4630" s="11"/>
      <c r="S4630" s="11"/>
    </row>
    <row r="4631" spans="1:19" s="9" customFormat="1" x14ac:dyDescent="0.25">
      <c r="A4631" s="10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  <c r="Q4631" s="11"/>
      <c r="R4631" s="11"/>
      <c r="S4631" s="11"/>
    </row>
    <row r="4632" spans="1:19" s="9" customFormat="1" x14ac:dyDescent="0.25">
      <c r="A4632" s="10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  <c r="Q4632" s="11"/>
      <c r="R4632" s="11"/>
      <c r="S4632" s="11"/>
    </row>
    <row r="4633" spans="1:19" s="9" customFormat="1" x14ac:dyDescent="0.25">
      <c r="A4633" s="10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  <c r="Q4633" s="11"/>
      <c r="R4633" s="11"/>
      <c r="S4633" s="11"/>
    </row>
    <row r="4634" spans="1:19" s="9" customFormat="1" x14ac:dyDescent="0.25">
      <c r="A4634" s="10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  <c r="Q4634" s="11"/>
      <c r="R4634" s="11"/>
      <c r="S4634" s="11"/>
    </row>
    <row r="4635" spans="1:19" s="9" customFormat="1" x14ac:dyDescent="0.25">
      <c r="A4635" s="10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  <c r="Q4635" s="11"/>
      <c r="R4635" s="11"/>
      <c r="S4635" s="11"/>
    </row>
    <row r="4636" spans="1:19" s="9" customFormat="1" x14ac:dyDescent="0.25">
      <c r="A4636" s="10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  <c r="Q4636" s="11"/>
      <c r="R4636" s="11"/>
      <c r="S4636" s="11"/>
    </row>
    <row r="4637" spans="1:19" s="9" customFormat="1" x14ac:dyDescent="0.25">
      <c r="A4637" s="10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  <c r="Q4637" s="11"/>
      <c r="R4637" s="11"/>
      <c r="S4637" s="11"/>
    </row>
    <row r="4638" spans="1:19" s="9" customFormat="1" x14ac:dyDescent="0.25">
      <c r="A4638" s="10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  <c r="Q4638" s="11"/>
      <c r="R4638" s="11"/>
      <c r="S4638" s="11"/>
    </row>
    <row r="4639" spans="1:19" s="9" customFormat="1" x14ac:dyDescent="0.25">
      <c r="A4639" s="10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  <c r="Q4639" s="11"/>
      <c r="R4639" s="11"/>
      <c r="S4639" s="11"/>
    </row>
    <row r="4640" spans="1:19" s="9" customFormat="1" x14ac:dyDescent="0.25">
      <c r="A4640" s="10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  <c r="Q4640" s="11"/>
      <c r="R4640" s="11"/>
      <c r="S4640" s="11"/>
    </row>
    <row r="4641" spans="1:19" s="9" customFormat="1" x14ac:dyDescent="0.25">
      <c r="A4641" s="10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  <c r="Q4641" s="11"/>
      <c r="R4641" s="11"/>
      <c r="S4641" s="11"/>
    </row>
    <row r="4642" spans="1:19" s="9" customFormat="1" x14ac:dyDescent="0.25">
      <c r="A4642" s="10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  <c r="Q4642" s="11"/>
      <c r="R4642" s="11"/>
      <c r="S4642" s="11"/>
    </row>
    <row r="4643" spans="1:19" s="9" customFormat="1" x14ac:dyDescent="0.25">
      <c r="A4643" s="10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  <c r="Q4643" s="11"/>
      <c r="R4643" s="11"/>
      <c r="S4643" s="11"/>
    </row>
    <row r="4644" spans="1:19" s="9" customFormat="1" x14ac:dyDescent="0.25">
      <c r="A4644" s="10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  <c r="Q4644" s="11"/>
      <c r="R4644" s="11"/>
      <c r="S4644" s="11"/>
    </row>
    <row r="4645" spans="1:19" s="9" customFormat="1" x14ac:dyDescent="0.25">
      <c r="A4645" s="10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  <c r="Q4645" s="11"/>
      <c r="R4645" s="11"/>
      <c r="S4645" s="11"/>
    </row>
    <row r="4646" spans="1:19" s="9" customFormat="1" x14ac:dyDescent="0.25">
      <c r="A4646" s="10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  <c r="Q4646" s="11"/>
      <c r="R4646" s="11"/>
      <c r="S4646" s="11"/>
    </row>
    <row r="4647" spans="1:19" s="9" customFormat="1" x14ac:dyDescent="0.25">
      <c r="A4647" s="10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  <c r="Q4647" s="11"/>
      <c r="R4647" s="11"/>
      <c r="S4647" s="11"/>
    </row>
    <row r="4648" spans="1:19" s="9" customFormat="1" x14ac:dyDescent="0.25">
      <c r="A4648" s="10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  <c r="Q4648" s="11"/>
      <c r="R4648" s="11"/>
      <c r="S4648" s="11"/>
    </row>
    <row r="4649" spans="1:19" s="9" customFormat="1" x14ac:dyDescent="0.25">
      <c r="A4649" s="10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  <c r="Q4649" s="11"/>
      <c r="R4649" s="11"/>
      <c r="S4649" s="11"/>
    </row>
    <row r="4650" spans="1:19" s="9" customFormat="1" x14ac:dyDescent="0.25">
      <c r="A4650" s="10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  <c r="Q4650" s="11"/>
      <c r="R4650" s="11"/>
      <c r="S4650" s="11"/>
    </row>
    <row r="4651" spans="1:19" s="9" customFormat="1" x14ac:dyDescent="0.25">
      <c r="A4651" s="10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  <c r="Q4651" s="11"/>
      <c r="R4651" s="11"/>
      <c r="S4651" s="11"/>
    </row>
    <row r="4652" spans="1:19" s="9" customFormat="1" x14ac:dyDescent="0.25">
      <c r="A4652" s="10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  <c r="Q4652" s="11"/>
      <c r="R4652" s="11"/>
      <c r="S4652" s="11"/>
    </row>
    <row r="4653" spans="1:19" s="9" customFormat="1" x14ac:dyDescent="0.25">
      <c r="A4653" s="10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  <c r="Q4653" s="11"/>
      <c r="R4653" s="11"/>
      <c r="S4653" s="11"/>
    </row>
    <row r="4654" spans="1:19" s="9" customFormat="1" x14ac:dyDescent="0.25">
      <c r="A4654" s="10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  <c r="Q4654" s="11"/>
      <c r="R4654" s="11"/>
      <c r="S4654" s="11"/>
    </row>
    <row r="4655" spans="1:19" s="9" customFormat="1" x14ac:dyDescent="0.25">
      <c r="A4655" s="10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  <c r="Q4655" s="11"/>
      <c r="R4655" s="11"/>
      <c r="S4655" s="11"/>
    </row>
    <row r="4656" spans="1:19" s="9" customFormat="1" x14ac:dyDescent="0.25">
      <c r="A4656" s="10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  <c r="Q4656" s="11"/>
      <c r="R4656" s="11"/>
      <c r="S4656" s="11"/>
    </row>
    <row r="4657" spans="1:19" s="9" customFormat="1" x14ac:dyDescent="0.25">
      <c r="A4657" s="10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  <c r="Q4657" s="11"/>
      <c r="R4657" s="11"/>
      <c r="S4657" s="11"/>
    </row>
    <row r="4658" spans="1:19" s="9" customFormat="1" x14ac:dyDescent="0.25">
      <c r="A4658" s="10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  <c r="Q4658" s="11"/>
      <c r="R4658" s="11"/>
      <c r="S4658" s="11"/>
    </row>
    <row r="4659" spans="1:19" s="9" customFormat="1" x14ac:dyDescent="0.25">
      <c r="A4659" s="10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  <c r="Q4659" s="11"/>
      <c r="R4659" s="11"/>
      <c r="S4659" s="11"/>
    </row>
    <row r="4660" spans="1:19" s="9" customFormat="1" x14ac:dyDescent="0.25">
      <c r="A4660" s="10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  <c r="Q4660" s="11"/>
      <c r="R4660" s="11"/>
      <c r="S4660" s="11"/>
    </row>
    <row r="4661" spans="1:19" s="9" customFormat="1" x14ac:dyDescent="0.25">
      <c r="A4661" s="10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  <c r="Q4661" s="11"/>
      <c r="R4661" s="11"/>
      <c r="S4661" s="11"/>
    </row>
    <row r="4662" spans="1:19" s="9" customFormat="1" x14ac:dyDescent="0.25">
      <c r="A4662" s="10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  <c r="Q4662" s="11"/>
      <c r="R4662" s="11"/>
      <c r="S4662" s="11"/>
    </row>
    <row r="4663" spans="1:19" s="9" customFormat="1" x14ac:dyDescent="0.25">
      <c r="A4663" s="10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  <c r="Q4663" s="11"/>
      <c r="R4663" s="11"/>
      <c r="S4663" s="11"/>
    </row>
    <row r="4664" spans="1:19" s="9" customFormat="1" x14ac:dyDescent="0.25">
      <c r="A4664" s="10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  <c r="Q4664" s="11"/>
      <c r="R4664" s="11"/>
      <c r="S4664" s="11"/>
    </row>
    <row r="4665" spans="1:19" s="9" customFormat="1" x14ac:dyDescent="0.25">
      <c r="A4665" s="10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  <c r="Q4665" s="11"/>
      <c r="R4665" s="11"/>
      <c r="S4665" s="11"/>
    </row>
    <row r="4666" spans="1:19" s="9" customFormat="1" x14ac:dyDescent="0.25">
      <c r="A4666" s="10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  <c r="Q4666" s="11"/>
      <c r="R4666" s="11"/>
      <c r="S4666" s="11"/>
    </row>
    <row r="4667" spans="1:19" s="9" customFormat="1" x14ac:dyDescent="0.25">
      <c r="A4667" s="10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  <c r="Q4667" s="11"/>
      <c r="R4667" s="11"/>
      <c r="S4667" s="11"/>
    </row>
    <row r="4668" spans="1:19" s="9" customFormat="1" x14ac:dyDescent="0.25">
      <c r="A4668" s="10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  <c r="Q4668" s="11"/>
      <c r="R4668" s="11"/>
      <c r="S4668" s="11"/>
    </row>
    <row r="4669" spans="1:19" s="9" customFormat="1" x14ac:dyDescent="0.25">
      <c r="A4669" s="10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  <c r="Q4669" s="11"/>
      <c r="R4669" s="11"/>
      <c r="S4669" s="11"/>
    </row>
    <row r="4670" spans="1:19" s="9" customFormat="1" x14ac:dyDescent="0.25">
      <c r="A4670" s="10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  <c r="Q4670" s="11"/>
      <c r="R4670" s="11"/>
      <c r="S4670" s="11"/>
    </row>
    <row r="4671" spans="1:19" s="9" customFormat="1" x14ac:dyDescent="0.25">
      <c r="A4671" s="10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  <c r="Q4671" s="11"/>
      <c r="R4671" s="11"/>
      <c r="S4671" s="11"/>
    </row>
    <row r="4672" spans="1:19" s="9" customFormat="1" x14ac:dyDescent="0.25">
      <c r="A4672" s="10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  <c r="Q4672" s="11"/>
      <c r="R4672" s="11"/>
      <c r="S4672" s="11"/>
    </row>
    <row r="4673" spans="1:19" s="9" customFormat="1" x14ac:dyDescent="0.25">
      <c r="A4673" s="10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  <c r="Q4673" s="11"/>
      <c r="R4673" s="11"/>
      <c r="S4673" s="11"/>
    </row>
    <row r="4674" spans="1:19" s="9" customFormat="1" x14ac:dyDescent="0.25">
      <c r="A4674" s="10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  <c r="Q4674" s="11"/>
      <c r="R4674" s="11"/>
      <c r="S4674" s="11"/>
    </row>
    <row r="4675" spans="1:19" s="9" customFormat="1" x14ac:dyDescent="0.25">
      <c r="A4675" s="10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  <c r="Q4675" s="11"/>
      <c r="R4675" s="11"/>
      <c r="S4675" s="11"/>
    </row>
    <row r="4676" spans="1:19" s="9" customFormat="1" x14ac:dyDescent="0.25">
      <c r="A4676" s="10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  <c r="Q4676" s="11"/>
      <c r="R4676" s="11"/>
      <c r="S4676" s="11"/>
    </row>
    <row r="4677" spans="1:19" s="9" customFormat="1" x14ac:dyDescent="0.25">
      <c r="A4677" s="10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  <c r="Q4677" s="11"/>
      <c r="R4677" s="11"/>
      <c r="S4677" s="11"/>
    </row>
    <row r="4678" spans="1:19" s="9" customFormat="1" x14ac:dyDescent="0.25">
      <c r="A4678" s="10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  <c r="Q4678" s="11"/>
      <c r="R4678" s="11"/>
      <c r="S4678" s="11"/>
    </row>
    <row r="4679" spans="1:19" s="9" customFormat="1" x14ac:dyDescent="0.25">
      <c r="A4679" s="10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  <c r="Q4679" s="11"/>
      <c r="R4679" s="11"/>
      <c r="S4679" s="11"/>
    </row>
    <row r="4680" spans="1:19" s="9" customFormat="1" x14ac:dyDescent="0.25">
      <c r="A4680" s="10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  <c r="Q4680" s="11"/>
      <c r="R4680" s="11"/>
      <c r="S4680" s="11"/>
    </row>
    <row r="4681" spans="1:19" s="9" customFormat="1" x14ac:dyDescent="0.25">
      <c r="A4681" s="10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  <c r="Q4681" s="11"/>
      <c r="R4681" s="11"/>
      <c r="S4681" s="11"/>
    </row>
    <row r="4682" spans="1:19" s="9" customFormat="1" x14ac:dyDescent="0.25">
      <c r="A4682" s="10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  <c r="Q4682" s="11"/>
      <c r="R4682" s="11"/>
      <c r="S4682" s="11"/>
    </row>
    <row r="4683" spans="1:19" s="9" customFormat="1" x14ac:dyDescent="0.25">
      <c r="A4683" s="10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  <c r="Q4683" s="11"/>
      <c r="R4683" s="11"/>
      <c r="S4683" s="11"/>
    </row>
    <row r="4684" spans="1:19" s="9" customFormat="1" x14ac:dyDescent="0.25">
      <c r="A4684" s="10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  <c r="Q4684" s="11"/>
      <c r="R4684" s="11"/>
      <c r="S4684" s="11"/>
    </row>
    <row r="4685" spans="1:19" s="9" customFormat="1" x14ac:dyDescent="0.25">
      <c r="A4685" s="10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  <c r="Q4685" s="11"/>
      <c r="R4685" s="11"/>
      <c r="S4685" s="11"/>
    </row>
    <row r="4686" spans="1:19" s="9" customFormat="1" x14ac:dyDescent="0.25">
      <c r="A4686" s="10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  <c r="Q4686" s="11"/>
      <c r="R4686" s="11"/>
      <c r="S4686" s="11"/>
    </row>
    <row r="4687" spans="1:19" s="9" customFormat="1" x14ac:dyDescent="0.25">
      <c r="A4687" s="10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  <c r="Q4687" s="11"/>
      <c r="R4687" s="11"/>
      <c r="S4687" s="11"/>
    </row>
    <row r="4688" spans="1:19" s="9" customFormat="1" x14ac:dyDescent="0.25">
      <c r="A4688" s="10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  <c r="Q4688" s="11"/>
      <c r="R4688" s="11"/>
      <c r="S4688" s="11"/>
    </row>
    <row r="4689" spans="1:19" s="9" customFormat="1" x14ac:dyDescent="0.25">
      <c r="A4689" s="10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  <c r="Q4689" s="11"/>
      <c r="R4689" s="11"/>
      <c r="S4689" s="11"/>
    </row>
    <row r="4690" spans="1:19" s="9" customFormat="1" x14ac:dyDescent="0.25">
      <c r="A4690" s="10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  <c r="Q4690" s="11"/>
      <c r="R4690" s="11"/>
      <c r="S4690" s="11"/>
    </row>
    <row r="4691" spans="1:19" s="9" customFormat="1" x14ac:dyDescent="0.25">
      <c r="A4691" s="10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  <c r="Q4691" s="11"/>
      <c r="R4691" s="11"/>
      <c r="S4691" s="11"/>
    </row>
    <row r="4692" spans="1:19" s="9" customFormat="1" x14ac:dyDescent="0.25">
      <c r="A4692" s="10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  <c r="Q4692" s="11"/>
      <c r="R4692" s="11"/>
      <c r="S4692" s="11"/>
    </row>
    <row r="4693" spans="1:19" s="9" customFormat="1" x14ac:dyDescent="0.25">
      <c r="A4693" s="10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  <c r="Q4693" s="11"/>
      <c r="R4693" s="11"/>
      <c r="S4693" s="11"/>
    </row>
    <row r="4694" spans="1:19" s="9" customFormat="1" x14ac:dyDescent="0.25">
      <c r="A4694" s="10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  <c r="Q4694" s="11"/>
      <c r="R4694" s="11"/>
      <c r="S4694" s="11"/>
    </row>
    <row r="4695" spans="1:19" s="9" customFormat="1" x14ac:dyDescent="0.25">
      <c r="A4695" s="10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  <c r="Q4695" s="11"/>
      <c r="R4695" s="11"/>
      <c r="S4695" s="11"/>
    </row>
    <row r="4696" spans="1:19" s="9" customFormat="1" x14ac:dyDescent="0.25">
      <c r="A4696" s="10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  <c r="Q4696" s="11"/>
      <c r="R4696" s="11"/>
      <c r="S4696" s="11"/>
    </row>
    <row r="4697" spans="1:19" s="9" customFormat="1" x14ac:dyDescent="0.25">
      <c r="A4697" s="10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  <c r="Q4697" s="11"/>
      <c r="R4697" s="11"/>
      <c r="S4697" s="11"/>
    </row>
    <row r="4698" spans="1:19" s="9" customFormat="1" x14ac:dyDescent="0.25">
      <c r="A4698" s="10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  <c r="Q4698" s="11"/>
      <c r="R4698" s="11"/>
      <c r="S4698" s="11"/>
    </row>
    <row r="4699" spans="1:19" s="9" customFormat="1" x14ac:dyDescent="0.25">
      <c r="A4699" s="10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  <c r="Q4699" s="11"/>
      <c r="R4699" s="11"/>
      <c r="S4699" s="11"/>
    </row>
    <row r="4700" spans="1:19" s="9" customFormat="1" x14ac:dyDescent="0.25">
      <c r="A4700" s="10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  <c r="Q4700" s="11"/>
      <c r="R4700" s="11"/>
      <c r="S4700" s="11"/>
    </row>
    <row r="4701" spans="1:19" s="9" customFormat="1" x14ac:dyDescent="0.25">
      <c r="A4701" s="10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  <c r="Q4701" s="11"/>
      <c r="R4701" s="11"/>
      <c r="S4701" s="11"/>
    </row>
    <row r="4702" spans="1:19" s="9" customFormat="1" x14ac:dyDescent="0.25">
      <c r="A4702" s="10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  <c r="Q4702" s="11"/>
      <c r="R4702" s="11"/>
      <c r="S4702" s="11"/>
    </row>
    <row r="4703" spans="1:19" s="9" customFormat="1" x14ac:dyDescent="0.25">
      <c r="A4703" s="10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  <c r="Q4703" s="11"/>
      <c r="R4703" s="11"/>
      <c r="S4703" s="11"/>
    </row>
    <row r="4704" spans="1:19" s="9" customFormat="1" x14ac:dyDescent="0.25">
      <c r="A4704" s="10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  <c r="Q4704" s="11"/>
      <c r="R4704" s="11"/>
      <c r="S4704" s="11"/>
    </row>
    <row r="4705" spans="1:19" s="9" customFormat="1" x14ac:dyDescent="0.25">
      <c r="A4705" s="10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  <c r="Q4705" s="11"/>
      <c r="R4705" s="11"/>
      <c r="S4705" s="11"/>
    </row>
    <row r="4706" spans="1:19" s="9" customFormat="1" x14ac:dyDescent="0.25">
      <c r="A4706" s="10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  <c r="Q4706" s="11"/>
      <c r="R4706" s="11"/>
      <c r="S4706" s="11"/>
    </row>
    <row r="4707" spans="1:19" s="9" customFormat="1" x14ac:dyDescent="0.25">
      <c r="A4707" s="10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  <c r="Q4707" s="11"/>
      <c r="R4707" s="11"/>
      <c r="S4707" s="11"/>
    </row>
    <row r="4708" spans="1:19" s="9" customFormat="1" x14ac:dyDescent="0.25">
      <c r="A4708" s="10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  <c r="Q4708" s="11"/>
      <c r="R4708" s="11"/>
      <c r="S4708" s="11"/>
    </row>
    <row r="4709" spans="1:19" s="9" customFormat="1" x14ac:dyDescent="0.25">
      <c r="A4709" s="10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  <c r="Q4709" s="11"/>
      <c r="R4709" s="11"/>
      <c r="S4709" s="11"/>
    </row>
    <row r="4710" spans="1:19" s="9" customFormat="1" x14ac:dyDescent="0.25">
      <c r="A4710" s="10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  <c r="Q4710" s="11"/>
      <c r="R4710" s="11"/>
      <c r="S4710" s="11"/>
    </row>
    <row r="4711" spans="1:19" s="9" customFormat="1" x14ac:dyDescent="0.25">
      <c r="A4711" s="10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  <c r="Q4711" s="11"/>
      <c r="R4711" s="11"/>
      <c r="S4711" s="11"/>
    </row>
    <row r="4712" spans="1:19" s="9" customFormat="1" x14ac:dyDescent="0.25">
      <c r="A4712" s="10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  <c r="Q4712" s="11"/>
      <c r="R4712" s="11"/>
      <c r="S4712" s="11"/>
    </row>
    <row r="4713" spans="1:19" s="9" customFormat="1" x14ac:dyDescent="0.25">
      <c r="A4713" s="10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  <c r="Q4713" s="11"/>
      <c r="R4713" s="11"/>
      <c r="S4713" s="11"/>
    </row>
    <row r="4714" spans="1:19" s="9" customFormat="1" x14ac:dyDescent="0.25">
      <c r="A4714" s="10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  <c r="Q4714" s="11"/>
      <c r="R4714" s="11"/>
      <c r="S4714" s="11"/>
    </row>
    <row r="4715" spans="1:19" s="9" customFormat="1" x14ac:dyDescent="0.25">
      <c r="A4715" s="10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  <c r="Q4715" s="11"/>
      <c r="R4715" s="11"/>
      <c r="S4715" s="11"/>
    </row>
    <row r="4716" spans="1:19" s="9" customFormat="1" x14ac:dyDescent="0.25">
      <c r="A4716" s="10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  <c r="Q4716" s="11"/>
      <c r="R4716" s="11"/>
      <c r="S4716" s="11"/>
    </row>
    <row r="4717" spans="1:19" s="9" customFormat="1" x14ac:dyDescent="0.25">
      <c r="A4717" s="10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  <c r="Q4717" s="11"/>
      <c r="R4717" s="11"/>
      <c r="S4717" s="11"/>
    </row>
    <row r="4718" spans="1:19" s="9" customFormat="1" x14ac:dyDescent="0.25">
      <c r="A4718" s="10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  <c r="Q4718" s="11"/>
      <c r="R4718" s="11"/>
      <c r="S4718" s="11"/>
    </row>
    <row r="4719" spans="1:19" s="9" customFormat="1" x14ac:dyDescent="0.25">
      <c r="A4719" s="10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  <c r="Q4719" s="11"/>
      <c r="R4719" s="11"/>
      <c r="S4719" s="11"/>
    </row>
    <row r="4720" spans="1:19" s="9" customFormat="1" x14ac:dyDescent="0.25">
      <c r="A4720" s="10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  <c r="Q4720" s="11"/>
      <c r="R4720" s="11"/>
      <c r="S4720" s="11"/>
    </row>
    <row r="4721" spans="1:19" s="9" customFormat="1" x14ac:dyDescent="0.25">
      <c r="A4721" s="10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  <c r="Q4721" s="11"/>
      <c r="R4721" s="11"/>
      <c r="S4721" s="11"/>
    </row>
    <row r="4722" spans="1:19" s="9" customFormat="1" x14ac:dyDescent="0.25">
      <c r="A4722" s="10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  <c r="Q4722" s="11"/>
      <c r="R4722" s="11"/>
      <c r="S4722" s="11"/>
    </row>
    <row r="4723" spans="1:19" s="9" customFormat="1" x14ac:dyDescent="0.25">
      <c r="A4723" s="10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  <c r="Q4723" s="11"/>
      <c r="R4723" s="11"/>
      <c r="S4723" s="11"/>
    </row>
    <row r="4724" spans="1:19" s="9" customFormat="1" x14ac:dyDescent="0.25">
      <c r="A4724" s="10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  <c r="Q4724" s="11"/>
      <c r="R4724" s="11"/>
      <c r="S4724" s="11"/>
    </row>
    <row r="4725" spans="1:19" s="9" customFormat="1" x14ac:dyDescent="0.25">
      <c r="A4725" s="10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  <c r="Q4725" s="11"/>
      <c r="R4725" s="11"/>
      <c r="S4725" s="11"/>
    </row>
    <row r="4726" spans="1:19" s="9" customFormat="1" x14ac:dyDescent="0.25">
      <c r="A4726" s="10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  <c r="Q4726" s="11"/>
      <c r="R4726" s="11"/>
      <c r="S4726" s="11"/>
    </row>
    <row r="4727" spans="1:19" s="9" customFormat="1" x14ac:dyDescent="0.25">
      <c r="A4727" s="10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  <c r="Q4727" s="11"/>
      <c r="R4727" s="11"/>
      <c r="S4727" s="11"/>
    </row>
    <row r="4728" spans="1:19" s="9" customFormat="1" x14ac:dyDescent="0.25">
      <c r="A4728" s="10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  <c r="Q4728" s="11"/>
      <c r="R4728" s="11"/>
      <c r="S4728" s="11"/>
    </row>
    <row r="4729" spans="1:19" s="9" customFormat="1" x14ac:dyDescent="0.25">
      <c r="A4729" s="10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  <c r="Q4729" s="11"/>
      <c r="R4729" s="11"/>
      <c r="S4729" s="11"/>
    </row>
    <row r="4730" spans="1:19" s="9" customFormat="1" x14ac:dyDescent="0.25">
      <c r="A4730" s="10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  <c r="Q4730" s="11"/>
      <c r="R4730" s="11"/>
      <c r="S4730" s="11"/>
    </row>
    <row r="4731" spans="1:19" s="9" customFormat="1" x14ac:dyDescent="0.25">
      <c r="A4731" s="10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  <c r="Q4731" s="11"/>
      <c r="R4731" s="11"/>
      <c r="S4731" s="11"/>
    </row>
    <row r="4732" spans="1:19" s="9" customFormat="1" x14ac:dyDescent="0.25">
      <c r="A4732" s="10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  <c r="Q4732" s="11"/>
      <c r="R4732" s="11"/>
      <c r="S4732" s="11"/>
    </row>
    <row r="4733" spans="1:19" s="9" customFormat="1" x14ac:dyDescent="0.25">
      <c r="A4733" s="10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  <c r="Q4733" s="11"/>
      <c r="R4733" s="11"/>
      <c r="S4733" s="11"/>
    </row>
    <row r="4734" spans="1:19" s="9" customFormat="1" x14ac:dyDescent="0.25">
      <c r="A4734" s="10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  <c r="Q4734" s="11"/>
      <c r="R4734" s="11"/>
      <c r="S4734" s="11"/>
    </row>
    <row r="4735" spans="1:19" s="9" customFormat="1" x14ac:dyDescent="0.25">
      <c r="A4735" s="10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  <c r="Q4735" s="11"/>
      <c r="R4735" s="11"/>
      <c r="S4735" s="11"/>
    </row>
    <row r="4736" spans="1:19" s="9" customFormat="1" x14ac:dyDescent="0.25">
      <c r="A4736" s="10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  <c r="Q4736" s="11"/>
      <c r="R4736" s="11"/>
      <c r="S4736" s="11"/>
    </row>
    <row r="4737" spans="1:19" s="9" customFormat="1" x14ac:dyDescent="0.25">
      <c r="A4737" s="10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  <c r="Q4737" s="11"/>
      <c r="R4737" s="11"/>
      <c r="S4737" s="11"/>
    </row>
    <row r="4738" spans="1:19" s="9" customFormat="1" x14ac:dyDescent="0.25">
      <c r="A4738" s="10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  <c r="Q4738" s="11"/>
      <c r="R4738" s="11"/>
      <c r="S4738" s="11"/>
    </row>
    <row r="4739" spans="1:19" s="9" customFormat="1" x14ac:dyDescent="0.25">
      <c r="A4739" s="10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  <c r="Q4739" s="11"/>
      <c r="R4739" s="11"/>
      <c r="S4739" s="11"/>
    </row>
    <row r="4740" spans="1:19" s="9" customFormat="1" x14ac:dyDescent="0.25">
      <c r="A4740" s="10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  <c r="Q4740" s="11"/>
      <c r="R4740" s="11"/>
      <c r="S4740" s="11"/>
    </row>
    <row r="4741" spans="1:19" s="9" customFormat="1" x14ac:dyDescent="0.25">
      <c r="A4741" s="10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  <c r="Q4741" s="11"/>
      <c r="R4741" s="11"/>
      <c r="S4741" s="11"/>
    </row>
    <row r="4742" spans="1:19" s="9" customFormat="1" x14ac:dyDescent="0.25">
      <c r="A4742" s="10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  <c r="Q4742" s="11"/>
      <c r="R4742" s="11"/>
      <c r="S4742" s="11"/>
    </row>
    <row r="4743" spans="1:19" s="9" customFormat="1" x14ac:dyDescent="0.25">
      <c r="A4743" s="10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  <c r="Q4743" s="11"/>
      <c r="R4743" s="11"/>
      <c r="S4743" s="11"/>
    </row>
    <row r="4744" spans="1:19" s="9" customFormat="1" x14ac:dyDescent="0.25">
      <c r="A4744" s="10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  <c r="Q4744" s="11"/>
      <c r="R4744" s="11"/>
      <c r="S4744" s="11"/>
    </row>
    <row r="4745" spans="1:19" s="9" customFormat="1" x14ac:dyDescent="0.25">
      <c r="A4745" s="10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  <c r="Q4745" s="11"/>
      <c r="R4745" s="11"/>
      <c r="S4745" s="11"/>
    </row>
    <row r="4746" spans="1:19" s="9" customFormat="1" x14ac:dyDescent="0.25">
      <c r="A4746" s="10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  <c r="Q4746" s="11"/>
      <c r="R4746" s="11"/>
      <c r="S4746" s="11"/>
    </row>
    <row r="4747" spans="1:19" s="9" customFormat="1" x14ac:dyDescent="0.25">
      <c r="A4747" s="10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  <c r="Q4747" s="11"/>
      <c r="R4747" s="11"/>
      <c r="S4747" s="11"/>
    </row>
    <row r="4748" spans="1:19" s="9" customFormat="1" x14ac:dyDescent="0.25">
      <c r="A4748" s="10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  <c r="Q4748" s="11"/>
      <c r="R4748" s="11"/>
      <c r="S4748" s="11"/>
    </row>
    <row r="4749" spans="1:19" s="9" customFormat="1" x14ac:dyDescent="0.25">
      <c r="A4749" s="10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  <c r="Q4749" s="11"/>
      <c r="R4749" s="11"/>
      <c r="S4749" s="11"/>
    </row>
    <row r="4750" spans="1:19" s="9" customFormat="1" x14ac:dyDescent="0.25">
      <c r="A4750" s="10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  <c r="Q4750" s="11"/>
      <c r="R4750" s="11"/>
      <c r="S4750" s="11"/>
    </row>
    <row r="4751" spans="1:19" s="9" customFormat="1" x14ac:dyDescent="0.25">
      <c r="A4751" s="10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  <c r="Q4751" s="11"/>
      <c r="R4751" s="11"/>
      <c r="S4751" s="11"/>
    </row>
    <row r="4752" spans="1:19" s="9" customFormat="1" x14ac:dyDescent="0.25">
      <c r="A4752" s="10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  <c r="Q4752" s="11"/>
      <c r="R4752" s="11"/>
      <c r="S4752" s="11"/>
    </row>
    <row r="4753" spans="1:19" s="9" customFormat="1" x14ac:dyDescent="0.25">
      <c r="A4753" s="10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  <c r="Q4753" s="11"/>
      <c r="R4753" s="11"/>
      <c r="S4753" s="11"/>
    </row>
    <row r="4754" spans="1:19" s="9" customFormat="1" x14ac:dyDescent="0.25">
      <c r="A4754" s="10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  <c r="Q4754" s="11"/>
      <c r="R4754" s="11"/>
      <c r="S4754" s="11"/>
    </row>
    <row r="4755" spans="1:19" s="9" customFormat="1" x14ac:dyDescent="0.25">
      <c r="A4755" s="10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  <c r="Q4755" s="11"/>
      <c r="R4755" s="11"/>
      <c r="S4755" s="11"/>
    </row>
    <row r="4756" spans="1:19" s="9" customFormat="1" x14ac:dyDescent="0.25">
      <c r="A4756" s="10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  <c r="Q4756" s="11"/>
      <c r="R4756" s="11"/>
      <c r="S4756" s="11"/>
    </row>
    <row r="4757" spans="1:19" s="9" customFormat="1" x14ac:dyDescent="0.25">
      <c r="A4757" s="10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  <c r="Q4757" s="11"/>
      <c r="R4757" s="11"/>
      <c r="S4757" s="11"/>
    </row>
    <row r="4758" spans="1:19" s="9" customFormat="1" x14ac:dyDescent="0.25">
      <c r="A4758" s="10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  <c r="Q4758" s="11"/>
      <c r="R4758" s="11"/>
      <c r="S4758" s="11"/>
    </row>
    <row r="4759" spans="1:19" s="9" customFormat="1" x14ac:dyDescent="0.25">
      <c r="A4759" s="10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  <c r="Q4759" s="11"/>
      <c r="R4759" s="11"/>
      <c r="S4759" s="11"/>
    </row>
    <row r="4760" spans="1:19" s="9" customFormat="1" x14ac:dyDescent="0.25">
      <c r="A4760" s="10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  <c r="Q4760" s="11"/>
      <c r="R4760" s="11"/>
      <c r="S4760" s="11"/>
    </row>
    <row r="4761" spans="1:19" s="9" customFormat="1" x14ac:dyDescent="0.25">
      <c r="A4761" s="10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  <c r="Q4761" s="11"/>
      <c r="R4761" s="11"/>
      <c r="S4761" s="11"/>
    </row>
    <row r="4762" spans="1:19" s="9" customFormat="1" x14ac:dyDescent="0.25">
      <c r="A4762" s="10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  <c r="Q4762" s="11"/>
      <c r="R4762" s="11"/>
      <c r="S4762" s="11"/>
    </row>
    <row r="4763" spans="1:19" s="9" customFormat="1" x14ac:dyDescent="0.25">
      <c r="A4763" s="10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  <c r="Q4763" s="11"/>
      <c r="R4763" s="11"/>
      <c r="S4763" s="11"/>
    </row>
    <row r="4764" spans="1:19" s="9" customFormat="1" x14ac:dyDescent="0.25">
      <c r="A4764" s="10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  <c r="Q4764" s="11"/>
      <c r="R4764" s="11"/>
      <c r="S4764" s="11"/>
    </row>
    <row r="4765" spans="1:19" s="9" customFormat="1" x14ac:dyDescent="0.25">
      <c r="A4765" s="10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  <c r="Q4765" s="11"/>
      <c r="R4765" s="11"/>
      <c r="S4765" s="11"/>
    </row>
    <row r="4766" spans="1:19" s="9" customFormat="1" x14ac:dyDescent="0.25">
      <c r="A4766" s="10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  <c r="Q4766" s="11"/>
      <c r="R4766" s="11"/>
      <c r="S4766" s="11"/>
    </row>
    <row r="4767" spans="1:19" s="9" customFormat="1" x14ac:dyDescent="0.25">
      <c r="A4767" s="10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  <c r="Q4767" s="11"/>
      <c r="R4767" s="11"/>
      <c r="S4767" s="11"/>
    </row>
    <row r="4768" spans="1:19" s="9" customFormat="1" x14ac:dyDescent="0.25">
      <c r="A4768" s="10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  <c r="Q4768" s="11"/>
      <c r="R4768" s="11"/>
      <c r="S4768" s="11"/>
    </row>
    <row r="4769" spans="1:19" s="9" customFormat="1" x14ac:dyDescent="0.25">
      <c r="A4769" s="10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  <c r="Q4769" s="11"/>
      <c r="R4769" s="11"/>
      <c r="S4769" s="11"/>
    </row>
    <row r="4770" spans="1:19" s="9" customFormat="1" x14ac:dyDescent="0.25">
      <c r="A4770" s="10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  <c r="Q4770" s="11"/>
      <c r="R4770" s="11"/>
      <c r="S4770" s="11"/>
    </row>
    <row r="4771" spans="1:19" s="9" customFormat="1" x14ac:dyDescent="0.25">
      <c r="A4771" s="10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  <c r="Q4771" s="11"/>
      <c r="R4771" s="11"/>
      <c r="S4771" s="11"/>
    </row>
    <row r="4772" spans="1:19" s="9" customFormat="1" x14ac:dyDescent="0.25">
      <c r="A4772" s="10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  <c r="Q4772" s="11"/>
      <c r="R4772" s="11"/>
      <c r="S4772" s="11"/>
    </row>
    <row r="4773" spans="1:19" s="9" customFormat="1" x14ac:dyDescent="0.25">
      <c r="A4773" s="10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  <c r="Q4773" s="11"/>
      <c r="R4773" s="11"/>
      <c r="S4773" s="11"/>
    </row>
    <row r="4774" spans="1:19" s="9" customFormat="1" x14ac:dyDescent="0.25">
      <c r="A4774" s="10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  <c r="Q4774" s="11"/>
      <c r="R4774" s="11"/>
      <c r="S4774" s="11"/>
    </row>
    <row r="4775" spans="1:19" s="9" customFormat="1" x14ac:dyDescent="0.25">
      <c r="A4775" s="10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  <c r="Q4775" s="11"/>
      <c r="R4775" s="11"/>
      <c r="S4775" s="11"/>
    </row>
    <row r="4776" spans="1:19" s="9" customFormat="1" x14ac:dyDescent="0.25">
      <c r="A4776" s="10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  <c r="Q4776" s="11"/>
      <c r="R4776" s="11"/>
      <c r="S4776" s="11"/>
    </row>
    <row r="4777" spans="1:19" s="9" customFormat="1" x14ac:dyDescent="0.25">
      <c r="A4777" s="10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  <c r="Q4777" s="11"/>
      <c r="R4777" s="11"/>
      <c r="S4777" s="11"/>
    </row>
    <row r="4778" spans="1:19" s="9" customFormat="1" x14ac:dyDescent="0.25">
      <c r="A4778" s="10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  <c r="Q4778" s="11"/>
      <c r="R4778" s="11"/>
      <c r="S4778" s="11"/>
    </row>
    <row r="4779" spans="1:19" s="9" customFormat="1" x14ac:dyDescent="0.25">
      <c r="A4779" s="10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  <c r="Q4779" s="11"/>
      <c r="R4779" s="11"/>
      <c r="S4779" s="11"/>
    </row>
    <row r="4780" spans="1:19" s="9" customFormat="1" x14ac:dyDescent="0.25">
      <c r="A4780" s="10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  <c r="Q4780" s="11"/>
      <c r="R4780" s="11"/>
      <c r="S4780" s="11"/>
    </row>
    <row r="4781" spans="1:19" s="9" customFormat="1" x14ac:dyDescent="0.25">
      <c r="A4781" s="10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  <c r="Q4781" s="11"/>
      <c r="R4781" s="11"/>
      <c r="S4781" s="11"/>
    </row>
    <row r="4782" spans="1:19" s="9" customFormat="1" x14ac:dyDescent="0.25">
      <c r="A4782" s="10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  <c r="Q4782" s="11"/>
      <c r="R4782" s="11"/>
      <c r="S4782" s="11"/>
    </row>
    <row r="4783" spans="1:19" s="9" customFormat="1" x14ac:dyDescent="0.25">
      <c r="A4783" s="10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  <c r="Q4783" s="11"/>
      <c r="R4783" s="11"/>
      <c r="S4783" s="11"/>
    </row>
    <row r="4784" spans="1:19" s="9" customFormat="1" x14ac:dyDescent="0.25">
      <c r="A4784" s="10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  <c r="Q4784" s="11"/>
      <c r="R4784" s="11"/>
      <c r="S4784" s="11"/>
    </row>
    <row r="4785" spans="1:19" s="9" customFormat="1" x14ac:dyDescent="0.25">
      <c r="A4785" s="10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  <c r="Q4785" s="11"/>
      <c r="R4785" s="11"/>
      <c r="S4785" s="11"/>
    </row>
    <row r="4786" spans="1:19" s="9" customFormat="1" x14ac:dyDescent="0.25">
      <c r="A4786" s="10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  <c r="Q4786" s="11"/>
      <c r="R4786" s="11"/>
      <c r="S4786" s="11"/>
    </row>
    <row r="4787" spans="1:19" s="9" customFormat="1" x14ac:dyDescent="0.25">
      <c r="A4787" s="10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  <c r="Q4787" s="11"/>
      <c r="R4787" s="11"/>
      <c r="S4787" s="11"/>
    </row>
    <row r="4788" spans="1:19" s="9" customFormat="1" x14ac:dyDescent="0.25">
      <c r="A4788" s="10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  <c r="Q4788" s="11"/>
      <c r="R4788" s="11"/>
      <c r="S4788" s="11"/>
    </row>
    <row r="4789" spans="1:19" s="9" customFormat="1" x14ac:dyDescent="0.25">
      <c r="A4789" s="10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  <c r="Q4789" s="11"/>
      <c r="R4789" s="11"/>
      <c r="S4789" s="11"/>
    </row>
    <row r="4790" spans="1:19" s="9" customFormat="1" x14ac:dyDescent="0.25">
      <c r="A4790" s="10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  <c r="Q4790" s="11"/>
      <c r="R4790" s="11"/>
      <c r="S4790" s="11"/>
    </row>
    <row r="4791" spans="1:19" s="9" customFormat="1" x14ac:dyDescent="0.25">
      <c r="A4791" s="10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  <c r="Q4791" s="11"/>
      <c r="R4791" s="11"/>
      <c r="S4791" s="11"/>
    </row>
    <row r="4792" spans="1:19" s="9" customFormat="1" x14ac:dyDescent="0.25">
      <c r="A4792" s="10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  <c r="Q4792" s="11"/>
      <c r="R4792" s="11"/>
      <c r="S4792" s="11"/>
    </row>
    <row r="4793" spans="1:19" s="9" customFormat="1" x14ac:dyDescent="0.25">
      <c r="A4793" s="10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  <c r="Q4793" s="11"/>
      <c r="R4793" s="11"/>
      <c r="S4793" s="11"/>
    </row>
    <row r="4794" spans="1:19" s="9" customFormat="1" x14ac:dyDescent="0.25">
      <c r="A4794" s="10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  <c r="Q4794" s="11"/>
      <c r="R4794" s="11"/>
      <c r="S4794" s="11"/>
    </row>
    <row r="4795" spans="1:19" s="9" customFormat="1" x14ac:dyDescent="0.25">
      <c r="A4795" s="10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  <c r="Q4795" s="11"/>
      <c r="R4795" s="11"/>
      <c r="S4795" s="11"/>
    </row>
    <row r="4796" spans="1:19" s="9" customFormat="1" x14ac:dyDescent="0.25">
      <c r="A4796" s="10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  <c r="Q4796" s="11"/>
      <c r="R4796" s="11"/>
      <c r="S4796" s="11"/>
    </row>
    <row r="4797" spans="1:19" s="9" customFormat="1" x14ac:dyDescent="0.25">
      <c r="A4797" s="10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  <c r="Q4797" s="11"/>
      <c r="R4797" s="11"/>
      <c r="S4797" s="11"/>
    </row>
    <row r="4798" spans="1:19" s="9" customFormat="1" x14ac:dyDescent="0.25">
      <c r="A4798" s="10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  <c r="Q4798" s="11"/>
      <c r="R4798" s="11"/>
      <c r="S4798" s="11"/>
    </row>
    <row r="4799" spans="1:19" s="9" customFormat="1" x14ac:dyDescent="0.25">
      <c r="A4799" s="10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  <c r="Q4799" s="11"/>
      <c r="R4799" s="11"/>
      <c r="S4799" s="11"/>
    </row>
    <row r="4800" spans="1:19" s="9" customFormat="1" x14ac:dyDescent="0.25">
      <c r="A4800" s="10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  <c r="Q4800" s="11"/>
      <c r="R4800" s="11"/>
      <c r="S4800" s="11"/>
    </row>
    <row r="4801" spans="1:19" s="9" customFormat="1" x14ac:dyDescent="0.25">
      <c r="A4801" s="10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  <c r="Q4801" s="11"/>
      <c r="R4801" s="11"/>
      <c r="S4801" s="11"/>
    </row>
    <row r="4802" spans="1:19" s="9" customFormat="1" x14ac:dyDescent="0.25">
      <c r="A4802" s="10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  <c r="Q4802" s="11"/>
      <c r="R4802" s="11"/>
      <c r="S4802" s="11"/>
    </row>
    <row r="4803" spans="1:19" s="9" customFormat="1" x14ac:dyDescent="0.25">
      <c r="A4803" s="10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  <c r="Q4803" s="11"/>
      <c r="R4803" s="11"/>
      <c r="S4803" s="11"/>
    </row>
    <row r="4804" spans="1:19" s="9" customFormat="1" x14ac:dyDescent="0.25">
      <c r="A4804" s="10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  <c r="Q4804" s="11"/>
      <c r="R4804" s="11"/>
      <c r="S4804" s="11"/>
    </row>
    <row r="4805" spans="1:19" s="9" customFormat="1" x14ac:dyDescent="0.25">
      <c r="A4805" s="10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  <c r="Q4805" s="11"/>
      <c r="R4805" s="11"/>
      <c r="S4805" s="11"/>
    </row>
    <row r="4806" spans="1:19" s="9" customFormat="1" x14ac:dyDescent="0.25">
      <c r="A4806" s="10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  <c r="Q4806" s="11"/>
      <c r="R4806" s="11"/>
      <c r="S4806" s="11"/>
    </row>
    <row r="4807" spans="1:19" s="9" customFormat="1" x14ac:dyDescent="0.25">
      <c r="A4807" s="10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  <c r="Q4807" s="11"/>
      <c r="R4807" s="11"/>
      <c r="S4807" s="11"/>
    </row>
    <row r="4808" spans="1:19" s="9" customFormat="1" x14ac:dyDescent="0.25">
      <c r="A4808" s="10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  <c r="Q4808" s="11"/>
      <c r="R4808" s="11"/>
      <c r="S4808" s="11"/>
    </row>
    <row r="4809" spans="1:19" s="9" customFormat="1" x14ac:dyDescent="0.25">
      <c r="A4809" s="10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  <c r="Q4809" s="11"/>
      <c r="R4809" s="11"/>
      <c r="S4809" s="11"/>
    </row>
    <row r="4810" spans="1:19" s="9" customFormat="1" x14ac:dyDescent="0.25">
      <c r="A4810" s="10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  <c r="Q4810" s="11"/>
      <c r="R4810" s="11"/>
      <c r="S4810" s="11"/>
    </row>
    <row r="4811" spans="1:19" s="9" customFormat="1" x14ac:dyDescent="0.25">
      <c r="A4811" s="10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  <c r="Q4811" s="11"/>
      <c r="R4811" s="11"/>
      <c r="S4811" s="11"/>
    </row>
    <row r="4812" spans="1:19" s="9" customFormat="1" x14ac:dyDescent="0.25">
      <c r="A4812" s="10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  <c r="Q4812" s="11"/>
      <c r="R4812" s="11"/>
      <c r="S4812" s="11"/>
    </row>
    <row r="4813" spans="1:19" s="9" customFormat="1" x14ac:dyDescent="0.25">
      <c r="A4813" s="10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  <c r="Q4813" s="11"/>
      <c r="R4813" s="11"/>
      <c r="S4813" s="11"/>
    </row>
    <row r="4814" spans="1:19" s="9" customFormat="1" x14ac:dyDescent="0.25">
      <c r="A4814" s="10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  <c r="Q4814" s="11"/>
      <c r="R4814" s="11"/>
      <c r="S4814" s="11"/>
    </row>
    <row r="4815" spans="1:19" s="9" customFormat="1" x14ac:dyDescent="0.25">
      <c r="A4815" s="10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  <c r="Q4815" s="11"/>
      <c r="R4815" s="11"/>
      <c r="S4815" s="11"/>
    </row>
    <row r="4816" spans="1:19" s="9" customFormat="1" x14ac:dyDescent="0.25">
      <c r="A4816" s="10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  <c r="Q4816" s="11"/>
      <c r="R4816" s="11"/>
      <c r="S4816" s="11"/>
    </row>
    <row r="4817" spans="1:19" s="9" customFormat="1" x14ac:dyDescent="0.25">
      <c r="A4817" s="10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  <c r="Q4817" s="11"/>
      <c r="R4817" s="11"/>
      <c r="S4817" s="11"/>
    </row>
    <row r="4818" spans="1:19" s="9" customFormat="1" x14ac:dyDescent="0.25">
      <c r="A4818" s="10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  <c r="Q4818" s="11"/>
      <c r="R4818" s="11"/>
      <c r="S4818" s="11"/>
    </row>
    <row r="4819" spans="1:19" s="9" customFormat="1" x14ac:dyDescent="0.25">
      <c r="A4819" s="10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  <c r="Q4819" s="11"/>
      <c r="R4819" s="11"/>
      <c r="S4819" s="11"/>
    </row>
    <row r="4820" spans="1:19" s="9" customFormat="1" x14ac:dyDescent="0.25">
      <c r="A4820" s="10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  <c r="Q4820" s="11"/>
      <c r="R4820" s="11"/>
      <c r="S4820" s="11"/>
    </row>
    <row r="4821" spans="1:19" s="9" customFormat="1" x14ac:dyDescent="0.25">
      <c r="A4821" s="10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  <c r="Q4821" s="11"/>
      <c r="R4821" s="11"/>
      <c r="S4821" s="11"/>
    </row>
    <row r="4822" spans="1:19" s="9" customFormat="1" x14ac:dyDescent="0.25">
      <c r="A4822" s="10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  <c r="Q4822" s="11"/>
      <c r="R4822" s="11"/>
      <c r="S4822" s="11"/>
    </row>
    <row r="4823" spans="1:19" s="9" customFormat="1" x14ac:dyDescent="0.25">
      <c r="A4823" s="10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  <c r="Q4823" s="11"/>
      <c r="R4823" s="11"/>
      <c r="S4823" s="11"/>
    </row>
    <row r="4824" spans="1:19" s="9" customFormat="1" x14ac:dyDescent="0.25">
      <c r="A4824" s="10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  <c r="Q4824" s="11"/>
      <c r="R4824" s="11"/>
      <c r="S4824" s="11"/>
    </row>
    <row r="4825" spans="1:19" s="9" customFormat="1" x14ac:dyDescent="0.25">
      <c r="A4825" s="10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  <c r="Q4825" s="11"/>
      <c r="R4825" s="11"/>
      <c r="S4825" s="11"/>
    </row>
    <row r="4826" spans="1:19" s="9" customFormat="1" x14ac:dyDescent="0.25">
      <c r="A4826" s="10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  <c r="Q4826" s="11"/>
      <c r="R4826" s="11"/>
      <c r="S4826" s="11"/>
    </row>
    <row r="4827" spans="1:19" s="9" customFormat="1" x14ac:dyDescent="0.25">
      <c r="A4827" s="10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  <c r="Q4827" s="11"/>
      <c r="R4827" s="11"/>
      <c r="S4827" s="11"/>
    </row>
    <row r="4828" spans="1:19" s="9" customFormat="1" x14ac:dyDescent="0.25">
      <c r="A4828" s="10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  <c r="Q4828" s="11"/>
      <c r="R4828" s="11"/>
      <c r="S4828" s="11"/>
    </row>
    <row r="4829" spans="1:19" s="9" customFormat="1" x14ac:dyDescent="0.25">
      <c r="A4829" s="10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  <c r="Q4829" s="11"/>
      <c r="R4829" s="11"/>
      <c r="S4829" s="11"/>
    </row>
    <row r="4830" spans="1:19" s="9" customFormat="1" x14ac:dyDescent="0.25">
      <c r="A4830" s="10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  <c r="Q4830" s="11"/>
      <c r="R4830" s="11"/>
      <c r="S4830" s="11"/>
    </row>
    <row r="4831" spans="1:19" s="9" customFormat="1" x14ac:dyDescent="0.25">
      <c r="A4831" s="10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  <c r="Q4831" s="11"/>
      <c r="R4831" s="11"/>
      <c r="S4831" s="11"/>
    </row>
    <row r="4832" spans="1:19" s="9" customFormat="1" x14ac:dyDescent="0.25">
      <c r="A4832" s="10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  <c r="Q4832" s="11"/>
      <c r="R4832" s="11"/>
      <c r="S4832" s="11"/>
    </row>
    <row r="4833" spans="1:19" s="9" customFormat="1" x14ac:dyDescent="0.25">
      <c r="A4833" s="10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  <c r="Q4833" s="11"/>
      <c r="R4833" s="11"/>
      <c r="S4833" s="11"/>
    </row>
    <row r="4834" spans="1:19" s="9" customFormat="1" x14ac:dyDescent="0.25">
      <c r="A4834" s="10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  <c r="Q4834" s="11"/>
      <c r="R4834" s="11"/>
      <c r="S4834" s="11"/>
    </row>
    <row r="4835" spans="1:19" s="9" customFormat="1" x14ac:dyDescent="0.25">
      <c r="A4835" s="10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  <c r="Q4835" s="11"/>
      <c r="R4835" s="11"/>
      <c r="S4835" s="11"/>
    </row>
    <row r="4836" spans="1:19" s="9" customFormat="1" x14ac:dyDescent="0.25">
      <c r="A4836" s="10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  <c r="Q4836" s="11"/>
      <c r="R4836" s="11"/>
      <c r="S4836" s="11"/>
    </row>
    <row r="4837" spans="1:19" s="9" customFormat="1" x14ac:dyDescent="0.25">
      <c r="A4837" s="10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  <c r="Q4837" s="11"/>
      <c r="R4837" s="11"/>
      <c r="S4837" s="11"/>
    </row>
    <row r="4838" spans="1:19" s="9" customFormat="1" x14ac:dyDescent="0.25">
      <c r="A4838" s="10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  <c r="Q4838" s="11"/>
      <c r="R4838" s="11"/>
      <c r="S4838" s="11"/>
    </row>
    <row r="4839" spans="1:19" s="9" customFormat="1" x14ac:dyDescent="0.25">
      <c r="A4839" s="10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  <c r="Q4839" s="11"/>
      <c r="R4839" s="11"/>
      <c r="S4839" s="11"/>
    </row>
    <row r="4840" spans="1:19" s="9" customFormat="1" x14ac:dyDescent="0.25">
      <c r="A4840" s="10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  <c r="Q4840" s="11"/>
      <c r="R4840" s="11"/>
      <c r="S4840" s="11"/>
    </row>
    <row r="4841" spans="1:19" s="9" customFormat="1" x14ac:dyDescent="0.25">
      <c r="A4841" s="10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  <c r="Q4841" s="11"/>
      <c r="R4841" s="11"/>
      <c r="S4841" s="11"/>
    </row>
    <row r="4842" spans="1:19" s="9" customFormat="1" x14ac:dyDescent="0.25">
      <c r="A4842" s="10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  <c r="Q4842" s="11"/>
      <c r="R4842" s="11"/>
      <c r="S4842" s="11"/>
    </row>
    <row r="4843" spans="1:19" s="9" customFormat="1" x14ac:dyDescent="0.25">
      <c r="A4843" s="10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  <c r="Q4843" s="11"/>
      <c r="R4843" s="11"/>
      <c r="S4843" s="11"/>
    </row>
    <row r="4844" spans="1:19" s="9" customFormat="1" x14ac:dyDescent="0.25">
      <c r="A4844" s="10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  <c r="Q4844" s="11"/>
      <c r="R4844" s="11"/>
      <c r="S4844" s="11"/>
    </row>
    <row r="4845" spans="1:19" s="9" customFormat="1" x14ac:dyDescent="0.25">
      <c r="A4845" s="10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  <c r="Q4845" s="11"/>
      <c r="R4845" s="11"/>
      <c r="S4845" s="11"/>
    </row>
    <row r="4846" spans="1:19" s="9" customFormat="1" x14ac:dyDescent="0.25">
      <c r="A4846" s="10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  <c r="Q4846" s="11"/>
      <c r="R4846" s="11"/>
      <c r="S4846" s="11"/>
    </row>
    <row r="4847" spans="1:19" s="9" customFormat="1" x14ac:dyDescent="0.25">
      <c r="A4847" s="10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  <c r="Q4847" s="11"/>
      <c r="R4847" s="11"/>
      <c r="S4847" s="11"/>
    </row>
    <row r="4848" spans="1:19" s="9" customFormat="1" x14ac:dyDescent="0.25">
      <c r="A4848" s="10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  <c r="Q4848" s="11"/>
      <c r="R4848" s="11"/>
      <c r="S4848" s="11"/>
    </row>
    <row r="4849" spans="1:19" s="9" customFormat="1" x14ac:dyDescent="0.25">
      <c r="A4849" s="10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  <c r="Q4849" s="11"/>
      <c r="R4849" s="11"/>
      <c r="S4849" s="11"/>
    </row>
    <row r="4850" spans="1:19" s="9" customFormat="1" x14ac:dyDescent="0.25">
      <c r="A4850" s="10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  <c r="Q4850" s="11"/>
      <c r="R4850" s="11"/>
      <c r="S4850" s="11"/>
    </row>
    <row r="4851" spans="1:19" s="9" customFormat="1" x14ac:dyDescent="0.25">
      <c r="A4851" s="10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  <c r="Q4851" s="11"/>
      <c r="R4851" s="11"/>
      <c r="S4851" s="11"/>
    </row>
    <row r="4852" spans="1:19" s="9" customFormat="1" x14ac:dyDescent="0.25">
      <c r="A4852" s="10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  <c r="Q4852" s="11"/>
      <c r="R4852" s="11"/>
      <c r="S4852" s="11"/>
    </row>
    <row r="4853" spans="1:19" s="9" customFormat="1" x14ac:dyDescent="0.25">
      <c r="A4853" s="10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  <c r="Q4853" s="11"/>
      <c r="R4853" s="11"/>
      <c r="S4853" s="11"/>
    </row>
    <row r="4854" spans="1:19" s="9" customFormat="1" x14ac:dyDescent="0.25">
      <c r="A4854" s="10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  <c r="Q4854" s="11"/>
      <c r="R4854" s="11"/>
      <c r="S4854" s="11"/>
    </row>
    <row r="4855" spans="1:19" s="9" customFormat="1" x14ac:dyDescent="0.25">
      <c r="A4855" s="10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  <c r="Q4855" s="11"/>
      <c r="R4855" s="11"/>
      <c r="S4855" s="11"/>
    </row>
    <row r="4856" spans="1:19" s="9" customFormat="1" x14ac:dyDescent="0.25">
      <c r="A4856" s="10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  <c r="Q4856" s="11"/>
      <c r="R4856" s="11"/>
      <c r="S4856" s="11"/>
    </row>
    <row r="4857" spans="1:19" s="9" customFormat="1" x14ac:dyDescent="0.25">
      <c r="A4857" s="10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  <c r="Q4857" s="11"/>
      <c r="R4857" s="11"/>
      <c r="S4857" s="11"/>
    </row>
    <row r="4858" spans="1:19" s="9" customFormat="1" x14ac:dyDescent="0.25">
      <c r="A4858" s="10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  <c r="Q4858" s="11"/>
      <c r="R4858" s="11"/>
      <c r="S4858" s="11"/>
    </row>
    <row r="4859" spans="1:19" s="9" customFormat="1" x14ac:dyDescent="0.25">
      <c r="A4859" s="10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  <c r="Q4859" s="11"/>
      <c r="R4859" s="11"/>
      <c r="S4859" s="11"/>
    </row>
    <row r="4860" spans="1:19" s="9" customFormat="1" x14ac:dyDescent="0.25">
      <c r="A4860" s="10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  <c r="Q4860" s="11"/>
      <c r="R4860" s="11"/>
      <c r="S4860" s="11"/>
    </row>
    <row r="4861" spans="1:19" s="9" customFormat="1" x14ac:dyDescent="0.25">
      <c r="A4861" s="10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  <c r="Q4861" s="11"/>
      <c r="R4861" s="11"/>
      <c r="S4861" s="11"/>
    </row>
    <row r="4862" spans="1:19" s="9" customFormat="1" x14ac:dyDescent="0.25">
      <c r="A4862" s="10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  <c r="Q4862" s="11"/>
      <c r="R4862" s="11"/>
      <c r="S4862" s="11"/>
    </row>
    <row r="4863" spans="1:19" s="9" customFormat="1" x14ac:dyDescent="0.25">
      <c r="A4863" s="10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  <c r="Q4863" s="11"/>
      <c r="R4863" s="11"/>
      <c r="S4863" s="11"/>
    </row>
    <row r="4864" spans="1:19" s="9" customFormat="1" x14ac:dyDescent="0.25">
      <c r="A4864" s="10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  <c r="Q4864" s="11"/>
      <c r="R4864" s="11"/>
      <c r="S4864" s="11"/>
    </row>
    <row r="4865" spans="1:19" s="9" customFormat="1" x14ac:dyDescent="0.25">
      <c r="A4865" s="10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  <c r="Q4865" s="11"/>
      <c r="R4865" s="11"/>
      <c r="S4865" s="11"/>
    </row>
    <row r="4866" spans="1:19" s="9" customFormat="1" x14ac:dyDescent="0.25">
      <c r="A4866" s="10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  <c r="Q4866" s="11"/>
      <c r="R4866" s="11"/>
      <c r="S4866" s="11"/>
    </row>
    <row r="4867" spans="1:19" s="9" customFormat="1" x14ac:dyDescent="0.25">
      <c r="A4867" s="10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  <c r="Q4867" s="11"/>
      <c r="R4867" s="11"/>
      <c r="S4867" s="11"/>
    </row>
    <row r="4868" spans="1:19" s="9" customFormat="1" x14ac:dyDescent="0.25">
      <c r="A4868" s="10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  <c r="Q4868" s="11"/>
      <c r="R4868" s="11"/>
      <c r="S4868" s="11"/>
    </row>
    <row r="4869" spans="1:19" s="9" customFormat="1" x14ac:dyDescent="0.25">
      <c r="A4869" s="10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  <c r="Q4869" s="11"/>
      <c r="R4869" s="11"/>
      <c r="S4869" s="11"/>
    </row>
    <row r="4870" spans="1:19" s="9" customFormat="1" x14ac:dyDescent="0.25">
      <c r="A4870" s="10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  <c r="Q4870" s="11"/>
      <c r="R4870" s="11"/>
      <c r="S4870" s="11"/>
    </row>
    <row r="4871" spans="1:19" s="9" customFormat="1" x14ac:dyDescent="0.25">
      <c r="A4871" s="10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  <c r="Q4871" s="11"/>
      <c r="R4871" s="11"/>
      <c r="S4871" s="11"/>
    </row>
    <row r="4872" spans="1:19" s="9" customFormat="1" x14ac:dyDescent="0.25">
      <c r="A4872" s="10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  <c r="Q4872" s="11"/>
      <c r="R4872" s="11"/>
      <c r="S4872" s="11"/>
    </row>
    <row r="4873" spans="1:19" s="9" customFormat="1" x14ac:dyDescent="0.25">
      <c r="A4873" s="10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  <c r="Q4873" s="11"/>
      <c r="R4873" s="11"/>
      <c r="S4873" s="11"/>
    </row>
    <row r="4874" spans="1:19" s="9" customFormat="1" x14ac:dyDescent="0.25">
      <c r="A4874" s="10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  <c r="Q4874" s="11"/>
      <c r="R4874" s="11"/>
      <c r="S4874" s="11"/>
    </row>
    <row r="4875" spans="1:19" s="9" customFormat="1" x14ac:dyDescent="0.25">
      <c r="A4875" s="10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  <c r="Q4875" s="11"/>
      <c r="R4875" s="11"/>
      <c r="S4875" s="11"/>
    </row>
    <row r="4876" spans="1:19" s="9" customFormat="1" x14ac:dyDescent="0.25">
      <c r="A4876" s="10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  <c r="Q4876" s="11"/>
      <c r="R4876" s="11"/>
      <c r="S4876" s="11"/>
    </row>
    <row r="4877" spans="1:19" s="9" customFormat="1" x14ac:dyDescent="0.25">
      <c r="A4877" s="10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  <c r="Q4877" s="11"/>
      <c r="R4877" s="11"/>
      <c r="S4877" s="11"/>
    </row>
    <row r="4878" spans="1:19" s="9" customFormat="1" x14ac:dyDescent="0.25">
      <c r="A4878" s="10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  <c r="Q4878" s="11"/>
      <c r="R4878" s="11"/>
      <c r="S4878" s="11"/>
    </row>
    <row r="4879" spans="1:19" s="9" customFormat="1" x14ac:dyDescent="0.25">
      <c r="A4879" s="10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  <c r="Q4879" s="11"/>
      <c r="R4879" s="11"/>
      <c r="S4879" s="11"/>
    </row>
    <row r="4880" spans="1:19" s="9" customFormat="1" x14ac:dyDescent="0.25">
      <c r="A4880" s="10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  <c r="Q4880" s="11"/>
      <c r="R4880" s="11"/>
      <c r="S4880" s="11"/>
    </row>
    <row r="4881" spans="1:19" s="9" customFormat="1" x14ac:dyDescent="0.25">
      <c r="A4881" s="10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  <c r="Q4881" s="11"/>
      <c r="R4881" s="11"/>
      <c r="S4881" s="11"/>
    </row>
    <row r="4882" spans="1:19" s="9" customFormat="1" x14ac:dyDescent="0.25">
      <c r="A4882" s="10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  <c r="Q4882" s="11"/>
      <c r="R4882" s="11"/>
      <c r="S4882" s="11"/>
    </row>
    <row r="4883" spans="1:19" s="9" customFormat="1" x14ac:dyDescent="0.25">
      <c r="A4883" s="10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  <c r="Q4883" s="11"/>
      <c r="R4883" s="11"/>
      <c r="S4883" s="11"/>
    </row>
    <row r="4884" spans="1:19" s="9" customFormat="1" x14ac:dyDescent="0.25">
      <c r="A4884" s="10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  <c r="Q4884" s="11"/>
      <c r="R4884" s="11"/>
      <c r="S4884" s="11"/>
    </row>
    <row r="4885" spans="1:19" s="9" customFormat="1" x14ac:dyDescent="0.25">
      <c r="A4885" s="10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  <c r="Q4885" s="11"/>
      <c r="R4885" s="11"/>
      <c r="S4885" s="11"/>
    </row>
    <row r="4886" spans="1:19" s="9" customFormat="1" x14ac:dyDescent="0.25">
      <c r="A4886" s="10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  <c r="Q4886" s="11"/>
      <c r="R4886" s="11"/>
      <c r="S4886" s="11"/>
    </row>
    <row r="4887" spans="1:19" s="9" customFormat="1" x14ac:dyDescent="0.25">
      <c r="A4887" s="10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  <c r="Q4887" s="11"/>
      <c r="R4887" s="11"/>
      <c r="S4887" s="11"/>
    </row>
    <row r="4888" spans="1:19" s="9" customFormat="1" x14ac:dyDescent="0.25">
      <c r="A4888" s="10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  <c r="Q4888" s="11"/>
      <c r="R4888" s="11"/>
      <c r="S4888" s="11"/>
    </row>
    <row r="4889" spans="1:19" s="9" customFormat="1" x14ac:dyDescent="0.25">
      <c r="A4889" s="10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  <c r="Q4889" s="11"/>
      <c r="R4889" s="11"/>
      <c r="S4889" s="11"/>
    </row>
    <row r="4890" spans="1:19" s="9" customFormat="1" x14ac:dyDescent="0.25">
      <c r="A4890" s="10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  <c r="Q4890" s="11"/>
      <c r="R4890" s="11"/>
      <c r="S4890" s="11"/>
    </row>
    <row r="4891" spans="1:19" s="9" customFormat="1" x14ac:dyDescent="0.25">
      <c r="A4891" s="10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  <c r="Q4891" s="11"/>
      <c r="R4891" s="11"/>
      <c r="S4891" s="11"/>
    </row>
    <row r="4892" spans="1:19" s="9" customFormat="1" x14ac:dyDescent="0.25">
      <c r="A4892" s="10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  <c r="Q4892" s="11"/>
      <c r="R4892" s="11"/>
      <c r="S4892" s="11"/>
    </row>
    <row r="4893" spans="1:19" s="9" customFormat="1" x14ac:dyDescent="0.25">
      <c r="A4893" s="10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  <c r="Q4893" s="11"/>
      <c r="R4893" s="11"/>
      <c r="S4893" s="11"/>
    </row>
    <row r="4894" spans="1:19" s="9" customFormat="1" x14ac:dyDescent="0.25">
      <c r="A4894" s="10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  <c r="Q4894" s="11"/>
      <c r="R4894" s="11"/>
      <c r="S4894" s="11"/>
    </row>
    <row r="4895" spans="1:19" s="9" customFormat="1" x14ac:dyDescent="0.25">
      <c r="A4895" s="10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  <c r="Q4895" s="11"/>
      <c r="R4895" s="11"/>
      <c r="S4895" s="11"/>
    </row>
    <row r="4896" spans="1:19" s="9" customFormat="1" x14ac:dyDescent="0.25">
      <c r="A4896" s="10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  <c r="Q4896" s="11"/>
      <c r="R4896" s="11"/>
      <c r="S4896" s="11"/>
    </row>
    <row r="4897" spans="1:19" s="9" customFormat="1" x14ac:dyDescent="0.25">
      <c r="A4897" s="10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  <c r="Q4897" s="11"/>
      <c r="R4897" s="11"/>
      <c r="S4897" s="11"/>
    </row>
    <row r="4898" spans="1:19" s="9" customFormat="1" x14ac:dyDescent="0.25">
      <c r="A4898" s="10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  <c r="Q4898" s="11"/>
      <c r="R4898" s="11"/>
      <c r="S4898" s="11"/>
    </row>
    <row r="4899" spans="1:19" s="9" customFormat="1" x14ac:dyDescent="0.25">
      <c r="A4899" s="10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  <c r="Q4899" s="11"/>
      <c r="R4899" s="11"/>
      <c r="S4899" s="11"/>
    </row>
    <row r="4900" spans="1:19" s="9" customFormat="1" x14ac:dyDescent="0.25">
      <c r="A4900" s="10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  <c r="Q4900" s="11"/>
      <c r="R4900" s="11"/>
      <c r="S4900" s="11"/>
    </row>
    <row r="4901" spans="1:19" s="9" customFormat="1" x14ac:dyDescent="0.25">
      <c r="A4901" s="10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  <c r="Q4901" s="11"/>
      <c r="R4901" s="11"/>
      <c r="S4901" s="11"/>
    </row>
    <row r="4902" spans="1:19" s="9" customFormat="1" x14ac:dyDescent="0.25">
      <c r="A4902" s="10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  <c r="Q4902" s="11"/>
      <c r="R4902" s="11"/>
      <c r="S4902" s="11"/>
    </row>
    <row r="4903" spans="1:19" s="9" customFormat="1" x14ac:dyDescent="0.25">
      <c r="A4903" s="10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  <c r="Q4903" s="11"/>
      <c r="R4903" s="11"/>
      <c r="S4903" s="11"/>
    </row>
    <row r="4904" spans="1:19" s="9" customFormat="1" x14ac:dyDescent="0.25">
      <c r="A4904" s="10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  <c r="Q4904" s="11"/>
      <c r="R4904" s="11"/>
      <c r="S4904" s="11"/>
    </row>
    <row r="4905" spans="1:19" s="9" customFormat="1" x14ac:dyDescent="0.25">
      <c r="A4905" s="10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  <c r="Q4905" s="11"/>
      <c r="R4905" s="11"/>
      <c r="S4905" s="11"/>
    </row>
    <row r="4906" spans="1:19" s="9" customFormat="1" x14ac:dyDescent="0.25">
      <c r="A4906" s="10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  <c r="Q4906" s="11"/>
      <c r="R4906" s="11"/>
      <c r="S4906" s="11"/>
    </row>
    <row r="4907" spans="1:19" s="9" customFormat="1" x14ac:dyDescent="0.25">
      <c r="A4907" s="10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  <c r="Q4907" s="11"/>
      <c r="R4907" s="11"/>
      <c r="S4907" s="11"/>
    </row>
    <row r="4908" spans="1:19" s="9" customFormat="1" x14ac:dyDescent="0.25">
      <c r="A4908" s="10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  <c r="Q4908" s="11"/>
      <c r="R4908" s="11"/>
      <c r="S4908" s="11"/>
    </row>
    <row r="4909" spans="1:19" s="9" customFormat="1" x14ac:dyDescent="0.25">
      <c r="A4909" s="10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  <c r="Q4909" s="11"/>
      <c r="R4909" s="11"/>
      <c r="S4909" s="11"/>
    </row>
    <row r="4910" spans="1:19" s="9" customFormat="1" x14ac:dyDescent="0.25">
      <c r="A4910" s="10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  <c r="Q4910" s="11"/>
      <c r="R4910" s="11"/>
      <c r="S4910" s="11"/>
    </row>
    <row r="4911" spans="1:19" s="9" customFormat="1" x14ac:dyDescent="0.25">
      <c r="A4911" s="10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  <c r="Q4911" s="11"/>
      <c r="R4911" s="11"/>
      <c r="S4911" s="11"/>
    </row>
    <row r="4912" spans="1:19" s="9" customFormat="1" x14ac:dyDescent="0.25">
      <c r="A4912" s="10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  <c r="Q4912" s="11"/>
      <c r="R4912" s="11"/>
      <c r="S4912" s="11"/>
    </row>
    <row r="4913" spans="1:19" s="9" customFormat="1" x14ac:dyDescent="0.25">
      <c r="A4913" s="10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  <c r="Q4913" s="11"/>
      <c r="R4913" s="11"/>
      <c r="S4913" s="11"/>
    </row>
    <row r="4914" spans="1:19" s="9" customFormat="1" x14ac:dyDescent="0.25">
      <c r="A4914" s="10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  <c r="Q4914" s="11"/>
      <c r="R4914" s="11"/>
      <c r="S4914" s="11"/>
    </row>
    <row r="4915" spans="1:19" s="9" customFormat="1" x14ac:dyDescent="0.25">
      <c r="A4915" s="10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  <c r="Q4915" s="11"/>
      <c r="R4915" s="11"/>
      <c r="S4915" s="11"/>
    </row>
    <row r="4916" spans="1:19" s="9" customFormat="1" x14ac:dyDescent="0.25">
      <c r="A4916" s="10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  <c r="Q4916" s="11"/>
      <c r="R4916" s="11"/>
      <c r="S4916" s="11"/>
    </row>
    <row r="4917" spans="1:19" s="9" customFormat="1" x14ac:dyDescent="0.25">
      <c r="A4917" s="10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  <c r="Q4917" s="11"/>
      <c r="R4917" s="11"/>
      <c r="S4917" s="11"/>
    </row>
    <row r="4918" spans="1:19" s="9" customFormat="1" x14ac:dyDescent="0.25">
      <c r="A4918" s="10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  <c r="Q4918" s="11"/>
      <c r="R4918" s="11"/>
      <c r="S4918" s="11"/>
    </row>
    <row r="4919" spans="1:19" s="9" customFormat="1" x14ac:dyDescent="0.25">
      <c r="A4919" s="10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  <c r="Q4919" s="11"/>
      <c r="R4919" s="11"/>
      <c r="S4919" s="11"/>
    </row>
    <row r="4920" spans="1:19" s="9" customFormat="1" x14ac:dyDescent="0.25">
      <c r="A4920" s="10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  <c r="Q4920" s="11"/>
      <c r="R4920" s="11"/>
      <c r="S4920" s="11"/>
    </row>
    <row r="4921" spans="1:19" s="9" customFormat="1" x14ac:dyDescent="0.25">
      <c r="A4921" s="10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  <c r="Q4921" s="11"/>
      <c r="R4921" s="11"/>
      <c r="S4921" s="11"/>
    </row>
    <row r="4922" spans="1:19" s="9" customFormat="1" x14ac:dyDescent="0.25">
      <c r="A4922" s="10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  <c r="Q4922" s="11"/>
      <c r="R4922" s="11"/>
      <c r="S4922" s="11"/>
    </row>
    <row r="4923" spans="1:19" s="9" customFormat="1" x14ac:dyDescent="0.25">
      <c r="A4923" s="10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  <c r="Q4923" s="11"/>
      <c r="R4923" s="11"/>
      <c r="S4923" s="11"/>
    </row>
    <row r="4924" spans="1:19" s="9" customFormat="1" x14ac:dyDescent="0.25">
      <c r="A4924" s="10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  <c r="Q4924" s="11"/>
      <c r="R4924" s="11"/>
      <c r="S4924" s="11"/>
    </row>
    <row r="4925" spans="1:19" s="9" customFormat="1" x14ac:dyDescent="0.25">
      <c r="A4925" s="10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  <c r="Q4925" s="11"/>
      <c r="R4925" s="11"/>
      <c r="S4925" s="11"/>
    </row>
    <row r="4926" spans="1:19" s="9" customFormat="1" x14ac:dyDescent="0.25">
      <c r="A4926" s="10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  <c r="Q4926" s="11"/>
      <c r="R4926" s="11"/>
      <c r="S4926" s="11"/>
    </row>
    <row r="4927" spans="1:19" s="9" customFormat="1" x14ac:dyDescent="0.25">
      <c r="A4927" s="10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  <c r="Q4927" s="11"/>
      <c r="R4927" s="11"/>
      <c r="S4927" s="11"/>
    </row>
    <row r="4928" spans="1:19" s="9" customFormat="1" x14ac:dyDescent="0.25">
      <c r="A4928" s="10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  <c r="Q4928" s="11"/>
      <c r="R4928" s="11"/>
      <c r="S4928" s="11"/>
    </row>
    <row r="4929" spans="1:19" s="9" customFormat="1" x14ac:dyDescent="0.25">
      <c r="A4929" s="10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  <c r="Q4929" s="11"/>
      <c r="R4929" s="11"/>
      <c r="S4929" s="11"/>
    </row>
    <row r="4930" spans="1:19" s="9" customFormat="1" x14ac:dyDescent="0.25">
      <c r="A4930" s="10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  <c r="Q4930" s="11"/>
      <c r="R4930" s="11"/>
      <c r="S4930" s="11"/>
    </row>
    <row r="4931" spans="1:19" s="9" customFormat="1" x14ac:dyDescent="0.25">
      <c r="A4931" s="10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  <c r="Q4931" s="11"/>
      <c r="R4931" s="11"/>
      <c r="S4931" s="11"/>
    </row>
    <row r="4932" spans="1:19" s="9" customFormat="1" x14ac:dyDescent="0.25">
      <c r="A4932" s="10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  <c r="Q4932" s="11"/>
      <c r="R4932" s="11"/>
      <c r="S4932" s="11"/>
    </row>
    <row r="4933" spans="1:19" s="9" customFormat="1" x14ac:dyDescent="0.25">
      <c r="A4933" s="10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  <c r="Q4933" s="11"/>
      <c r="R4933" s="11"/>
      <c r="S4933" s="11"/>
    </row>
    <row r="4934" spans="1:19" s="9" customFormat="1" x14ac:dyDescent="0.25">
      <c r="A4934" s="10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  <c r="Q4934" s="11"/>
      <c r="R4934" s="11"/>
      <c r="S4934" s="11"/>
    </row>
    <row r="4935" spans="1:19" s="9" customFormat="1" x14ac:dyDescent="0.25">
      <c r="A4935" s="10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  <c r="Q4935" s="11"/>
      <c r="R4935" s="11"/>
      <c r="S4935" s="11"/>
    </row>
    <row r="4936" spans="1:19" s="9" customFormat="1" x14ac:dyDescent="0.25">
      <c r="A4936" s="10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  <c r="Q4936" s="11"/>
      <c r="R4936" s="11"/>
      <c r="S4936" s="11"/>
    </row>
    <row r="4937" spans="1:19" s="9" customFormat="1" x14ac:dyDescent="0.25">
      <c r="A4937" s="10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  <c r="Q4937" s="11"/>
      <c r="R4937" s="11"/>
      <c r="S4937" s="11"/>
    </row>
    <row r="4938" spans="1:19" s="9" customFormat="1" x14ac:dyDescent="0.25">
      <c r="A4938" s="10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  <c r="Q4938" s="11"/>
      <c r="R4938" s="11"/>
      <c r="S4938" s="11"/>
    </row>
    <row r="4939" spans="1:19" s="9" customFormat="1" x14ac:dyDescent="0.25">
      <c r="A4939" s="10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  <c r="Q4939" s="11"/>
      <c r="R4939" s="11"/>
      <c r="S4939" s="11"/>
    </row>
    <row r="4940" spans="1:19" s="9" customFormat="1" x14ac:dyDescent="0.25">
      <c r="A4940" s="10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  <c r="Q4940" s="11"/>
      <c r="R4940" s="11"/>
      <c r="S4940" s="11"/>
    </row>
    <row r="4941" spans="1:19" s="9" customFormat="1" x14ac:dyDescent="0.25">
      <c r="A4941" s="10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  <c r="Q4941" s="11"/>
      <c r="R4941" s="11"/>
      <c r="S4941" s="11"/>
    </row>
    <row r="4942" spans="1:19" s="9" customFormat="1" x14ac:dyDescent="0.25">
      <c r="A4942" s="10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  <c r="Q4942" s="11"/>
      <c r="R4942" s="11"/>
      <c r="S4942" s="11"/>
    </row>
    <row r="4943" spans="1:19" s="9" customFormat="1" x14ac:dyDescent="0.25">
      <c r="A4943" s="10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  <c r="Q4943" s="11"/>
      <c r="R4943" s="11"/>
      <c r="S4943" s="11"/>
    </row>
    <row r="4944" spans="1:19" s="9" customFormat="1" x14ac:dyDescent="0.25">
      <c r="A4944" s="10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  <c r="Q4944" s="11"/>
      <c r="R4944" s="11"/>
      <c r="S4944" s="11"/>
    </row>
    <row r="4945" spans="1:19" s="9" customFormat="1" x14ac:dyDescent="0.25">
      <c r="A4945" s="10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  <c r="Q4945" s="11"/>
      <c r="R4945" s="11"/>
      <c r="S4945" s="11"/>
    </row>
    <row r="4946" spans="1:19" s="9" customFormat="1" x14ac:dyDescent="0.25">
      <c r="A4946" s="10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  <c r="Q4946" s="11"/>
      <c r="R4946" s="11"/>
      <c r="S4946" s="11"/>
    </row>
    <row r="4947" spans="1:19" s="9" customFormat="1" x14ac:dyDescent="0.25">
      <c r="A4947" s="10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  <c r="Q4947" s="11"/>
      <c r="R4947" s="11"/>
      <c r="S4947" s="11"/>
    </row>
    <row r="4948" spans="1:19" s="9" customFormat="1" x14ac:dyDescent="0.25">
      <c r="A4948" s="10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  <c r="Q4948" s="11"/>
      <c r="R4948" s="11"/>
      <c r="S4948" s="11"/>
    </row>
    <row r="4949" spans="1:19" s="9" customFormat="1" x14ac:dyDescent="0.25">
      <c r="A4949" s="10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  <c r="Q4949" s="11"/>
      <c r="R4949" s="11"/>
      <c r="S4949" s="11"/>
    </row>
    <row r="4950" spans="1:19" s="9" customFormat="1" x14ac:dyDescent="0.25">
      <c r="A4950" s="10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  <c r="Q4950" s="11"/>
      <c r="R4950" s="11"/>
      <c r="S4950" s="11"/>
    </row>
    <row r="4951" spans="1:19" s="9" customFormat="1" x14ac:dyDescent="0.25">
      <c r="A4951" s="10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  <c r="Q4951" s="11"/>
      <c r="R4951" s="11"/>
      <c r="S4951" s="11"/>
    </row>
    <row r="4952" spans="1:19" s="9" customFormat="1" x14ac:dyDescent="0.25">
      <c r="A4952" s="10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  <c r="Q4952" s="11"/>
      <c r="R4952" s="11"/>
      <c r="S4952" s="11"/>
    </row>
    <row r="4953" spans="1:19" s="9" customFormat="1" x14ac:dyDescent="0.25">
      <c r="A4953" s="10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  <c r="Q4953" s="11"/>
      <c r="R4953" s="11"/>
      <c r="S4953" s="11"/>
    </row>
    <row r="4954" spans="1:19" s="9" customFormat="1" x14ac:dyDescent="0.25">
      <c r="A4954" s="10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  <c r="Q4954" s="11"/>
      <c r="R4954" s="11"/>
      <c r="S4954" s="11"/>
    </row>
    <row r="4955" spans="1:19" s="9" customFormat="1" x14ac:dyDescent="0.25">
      <c r="A4955" s="10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  <c r="Q4955" s="11"/>
      <c r="R4955" s="11"/>
      <c r="S4955" s="11"/>
    </row>
    <row r="4956" spans="1:19" s="9" customFormat="1" x14ac:dyDescent="0.25">
      <c r="A4956" s="10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  <c r="Q4956" s="11"/>
      <c r="R4956" s="11"/>
      <c r="S4956" s="11"/>
    </row>
    <row r="4957" spans="1:19" s="9" customFormat="1" x14ac:dyDescent="0.25">
      <c r="A4957" s="10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  <c r="Q4957" s="11"/>
      <c r="R4957" s="11"/>
      <c r="S4957" s="11"/>
    </row>
    <row r="4958" spans="1:19" s="9" customFormat="1" x14ac:dyDescent="0.25">
      <c r="A4958" s="10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  <c r="Q4958" s="11"/>
      <c r="R4958" s="11"/>
      <c r="S4958" s="11"/>
    </row>
    <row r="4959" spans="1:19" s="9" customFormat="1" x14ac:dyDescent="0.25">
      <c r="A4959" s="10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  <c r="Q4959" s="11"/>
      <c r="R4959" s="11"/>
      <c r="S4959" s="11"/>
    </row>
    <row r="4960" spans="1:19" s="9" customFormat="1" x14ac:dyDescent="0.25">
      <c r="A4960" s="10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  <c r="Q4960" s="11"/>
      <c r="R4960" s="11"/>
      <c r="S4960" s="11"/>
    </row>
    <row r="4961" spans="1:19" s="9" customFormat="1" x14ac:dyDescent="0.25">
      <c r="A4961" s="10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  <c r="Q4961" s="11"/>
      <c r="R4961" s="11"/>
      <c r="S4961" s="11"/>
    </row>
    <row r="4962" spans="1:19" s="9" customFormat="1" x14ac:dyDescent="0.25">
      <c r="A4962" s="10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  <c r="Q4962" s="11"/>
      <c r="R4962" s="11"/>
      <c r="S4962" s="11"/>
    </row>
    <row r="4963" spans="1:19" s="9" customFormat="1" x14ac:dyDescent="0.25">
      <c r="A4963" s="10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  <c r="Q4963" s="11"/>
      <c r="R4963" s="11"/>
      <c r="S4963" s="11"/>
    </row>
    <row r="4964" spans="1:19" s="9" customFormat="1" x14ac:dyDescent="0.25">
      <c r="A4964" s="10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  <c r="Q4964" s="11"/>
      <c r="R4964" s="11"/>
      <c r="S4964" s="11"/>
    </row>
    <row r="4965" spans="1:19" s="9" customFormat="1" x14ac:dyDescent="0.25">
      <c r="A4965" s="10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  <c r="Q4965" s="11"/>
      <c r="R4965" s="11"/>
      <c r="S4965" s="11"/>
    </row>
    <row r="4966" spans="1:19" s="9" customFormat="1" x14ac:dyDescent="0.25">
      <c r="A4966" s="10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  <c r="Q4966" s="11"/>
      <c r="R4966" s="11"/>
      <c r="S4966" s="11"/>
    </row>
    <row r="4967" spans="1:19" s="9" customFormat="1" x14ac:dyDescent="0.25">
      <c r="A4967" s="10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  <c r="Q4967" s="11"/>
      <c r="R4967" s="11"/>
      <c r="S4967" s="11"/>
    </row>
    <row r="4968" spans="1:19" s="9" customFormat="1" x14ac:dyDescent="0.25">
      <c r="A4968" s="10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  <c r="Q4968" s="11"/>
      <c r="R4968" s="11"/>
      <c r="S4968" s="11"/>
    </row>
    <row r="4969" spans="1:19" s="9" customFormat="1" x14ac:dyDescent="0.25">
      <c r="A4969" s="10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  <c r="Q4969" s="11"/>
      <c r="R4969" s="11"/>
      <c r="S4969" s="11"/>
    </row>
    <row r="4970" spans="1:19" s="9" customFormat="1" x14ac:dyDescent="0.25">
      <c r="A4970" s="10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  <c r="Q4970" s="11"/>
      <c r="R4970" s="11"/>
      <c r="S4970" s="11"/>
    </row>
    <row r="4971" spans="1:19" s="9" customFormat="1" x14ac:dyDescent="0.25">
      <c r="A4971" s="10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  <c r="Q4971" s="11"/>
      <c r="R4971" s="11"/>
      <c r="S4971" s="11"/>
    </row>
    <row r="4972" spans="1:19" s="9" customFormat="1" x14ac:dyDescent="0.25">
      <c r="A4972" s="10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  <c r="Q4972" s="11"/>
      <c r="R4972" s="11"/>
      <c r="S4972" s="11"/>
    </row>
    <row r="4973" spans="1:19" s="9" customFormat="1" x14ac:dyDescent="0.25">
      <c r="A4973" s="10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  <c r="Q4973" s="11"/>
      <c r="R4973" s="11"/>
      <c r="S4973" s="11"/>
    </row>
    <row r="4974" spans="1:19" s="9" customFormat="1" x14ac:dyDescent="0.25">
      <c r="A4974" s="10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  <c r="Q4974" s="11"/>
      <c r="R4974" s="11"/>
      <c r="S4974" s="11"/>
    </row>
    <row r="4975" spans="1:19" s="9" customFormat="1" x14ac:dyDescent="0.25">
      <c r="A4975" s="10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  <c r="Q4975" s="11"/>
      <c r="R4975" s="11"/>
      <c r="S4975" s="11"/>
    </row>
    <row r="4976" spans="1:19" s="9" customFormat="1" x14ac:dyDescent="0.25">
      <c r="A4976" s="10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  <c r="Q4976" s="11"/>
      <c r="R4976" s="11"/>
      <c r="S4976" s="11"/>
    </row>
    <row r="4977" spans="1:19" s="9" customFormat="1" x14ac:dyDescent="0.25">
      <c r="A4977" s="10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  <c r="Q4977" s="11"/>
      <c r="R4977" s="11"/>
      <c r="S4977" s="11"/>
    </row>
    <row r="4978" spans="1:19" s="9" customFormat="1" x14ac:dyDescent="0.25">
      <c r="A4978" s="10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  <c r="Q4978" s="11"/>
      <c r="R4978" s="11"/>
      <c r="S4978" s="11"/>
    </row>
    <row r="4979" spans="1:19" s="9" customFormat="1" x14ac:dyDescent="0.25">
      <c r="A4979" s="10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  <c r="Q4979" s="11"/>
      <c r="R4979" s="11"/>
      <c r="S4979" s="11"/>
    </row>
    <row r="4980" spans="1:19" s="9" customFormat="1" x14ac:dyDescent="0.25">
      <c r="A4980" s="10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  <c r="Q4980" s="11"/>
      <c r="R4980" s="11"/>
      <c r="S4980" s="11"/>
    </row>
    <row r="4981" spans="1:19" s="9" customFormat="1" x14ac:dyDescent="0.25">
      <c r="A4981" s="10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  <c r="Q4981" s="11"/>
      <c r="R4981" s="11"/>
      <c r="S4981" s="11"/>
    </row>
    <row r="4982" spans="1:19" s="9" customFormat="1" x14ac:dyDescent="0.25">
      <c r="A4982" s="10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  <c r="Q4982" s="11"/>
      <c r="R4982" s="11"/>
      <c r="S4982" s="11"/>
    </row>
    <row r="4983" spans="1:19" s="9" customFormat="1" x14ac:dyDescent="0.25">
      <c r="A4983" s="10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  <c r="Q4983" s="11"/>
      <c r="R4983" s="11"/>
      <c r="S4983" s="11"/>
    </row>
    <row r="4984" spans="1:19" s="9" customFormat="1" x14ac:dyDescent="0.25">
      <c r="A4984" s="10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  <c r="Q4984" s="11"/>
      <c r="R4984" s="11"/>
      <c r="S4984" s="11"/>
    </row>
    <row r="4985" spans="1:19" s="9" customFormat="1" x14ac:dyDescent="0.25">
      <c r="A4985" s="10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  <c r="Q4985" s="11"/>
      <c r="R4985" s="11"/>
      <c r="S4985" s="11"/>
    </row>
    <row r="4986" spans="1:19" s="9" customFormat="1" x14ac:dyDescent="0.25">
      <c r="A4986" s="10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  <c r="Q4986" s="11"/>
      <c r="R4986" s="11"/>
      <c r="S4986" s="11"/>
    </row>
    <row r="4987" spans="1:19" s="9" customFormat="1" x14ac:dyDescent="0.25">
      <c r="A4987" s="10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  <c r="Q4987" s="11"/>
      <c r="R4987" s="11"/>
      <c r="S4987" s="11"/>
    </row>
    <row r="4988" spans="1:19" s="9" customFormat="1" x14ac:dyDescent="0.25">
      <c r="A4988" s="10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  <c r="Q4988" s="11"/>
      <c r="R4988" s="11"/>
      <c r="S4988" s="11"/>
    </row>
    <row r="4989" spans="1:19" s="9" customFormat="1" x14ac:dyDescent="0.25">
      <c r="A4989" s="10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  <c r="Q4989" s="11"/>
      <c r="R4989" s="11"/>
      <c r="S4989" s="11"/>
    </row>
    <row r="4990" spans="1:19" s="9" customFormat="1" x14ac:dyDescent="0.25">
      <c r="A4990" s="10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  <c r="Q4990" s="11"/>
      <c r="R4990" s="11"/>
      <c r="S4990" s="11"/>
    </row>
    <row r="4991" spans="1:19" s="9" customFormat="1" x14ac:dyDescent="0.25">
      <c r="A4991" s="10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  <c r="Q4991" s="11"/>
      <c r="R4991" s="11"/>
      <c r="S4991" s="11"/>
    </row>
    <row r="4992" spans="1:19" s="9" customFormat="1" x14ac:dyDescent="0.25">
      <c r="A4992" s="10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  <c r="Q4992" s="11"/>
      <c r="R4992" s="11"/>
      <c r="S4992" s="11"/>
    </row>
    <row r="4993" spans="1:19" s="9" customFormat="1" x14ac:dyDescent="0.25">
      <c r="A4993" s="10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  <c r="Q4993" s="11"/>
      <c r="R4993" s="11"/>
      <c r="S4993" s="11"/>
    </row>
    <row r="4994" spans="1:19" s="9" customFormat="1" x14ac:dyDescent="0.25">
      <c r="A4994" s="10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  <c r="Q4994" s="11"/>
      <c r="R4994" s="11"/>
      <c r="S4994" s="11"/>
    </row>
    <row r="4995" spans="1:19" s="9" customFormat="1" x14ac:dyDescent="0.25">
      <c r="A4995" s="10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  <c r="Q4995" s="11"/>
      <c r="R4995" s="11"/>
      <c r="S4995" s="11"/>
    </row>
    <row r="4996" spans="1:19" s="9" customFormat="1" x14ac:dyDescent="0.25">
      <c r="A4996" s="10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  <c r="Q4996" s="11"/>
      <c r="R4996" s="11"/>
      <c r="S4996" s="11"/>
    </row>
    <row r="4997" spans="1:19" s="9" customFormat="1" x14ac:dyDescent="0.25">
      <c r="A4997" s="10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  <c r="Q4997" s="11"/>
      <c r="R4997" s="11"/>
      <c r="S4997" s="11"/>
    </row>
    <row r="4998" spans="1:19" s="9" customFormat="1" x14ac:dyDescent="0.25">
      <c r="A4998" s="10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  <c r="Q4998" s="11"/>
      <c r="R4998" s="11"/>
      <c r="S4998" s="11"/>
    </row>
    <row r="4999" spans="1:19" s="9" customFormat="1" x14ac:dyDescent="0.25">
      <c r="A4999" s="10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  <c r="Q4999" s="11"/>
      <c r="R4999" s="11"/>
      <c r="S4999" s="11"/>
    </row>
    <row r="5000" spans="1:19" s="9" customFormat="1" x14ac:dyDescent="0.25">
      <c r="A5000" s="10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  <c r="Q5000" s="11"/>
      <c r="R5000" s="11"/>
      <c r="S5000" s="11"/>
    </row>
    <row r="5001" spans="1:19" s="9" customFormat="1" x14ac:dyDescent="0.25">
      <c r="A5001" s="10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  <c r="Q5001" s="11"/>
      <c r="R5001" s="11"/>
      <c r="S5001" s="11"/>
    </row>
    <row r="5002" spans="1:19" s="9" customFormat="1" x14ac:dyDescent="0.25">
      <c r="A5002" s="10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  <c r="Q5002" s="11"/>
      <c r="R5002" s="11"/>
      <c r="S5002" s="11"/>
    </row>
    <row r="5003" spans="1:19" s="9" customFormat="1" x14ac:dyDescent="0.25">
      <c r="A5003" s="10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  <c r="Q5003" s="11"/>
      <c r="R5003" s="11"/>
      <c r="S5003" s="11"/>
    </row>
    <row r="5004" spans="1:19" s="9" customFormat="1" x14ac:dyDescent="0.25">
      <c r="A5004" s="10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  <c r="Q5004" s="11"/>
      <c r="R5004" s="11"/>
      <c r="S5004" s="11"/>
    </row>
    <row r="5005" spans="1:19" s="9" customFormat="1" x14ac:dyDescent="0.25">
      <c r="A5005" s="10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  <c r="Q5005" s="11"/>
      <c r="R5005" s="11"/>
      <c r="S5005" s="11"/>
    </row>
    <row r="5006" spans="1:19" s="9" customFormat="1" x14ac:dyDescent="0.25">
      <c r="A5006" s="10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  <c r="Q5006" s="11"/>
      <c r="R5006" s="11"/>
      <c r="S5006" s="11"/>
    </row>
    <row r="5007" spans="1:19" s="9" customFormat="1" x14ac:dyDescent="0.25">
      <c r="A5007" s="10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  <c r="Q5007" s="11"/>
      <c r="R5007" s="11"/>
      <c r="S5007" s="11"/>
    </row>
    <row r="5008" spans="1:19" s="9" customFormat="1" x14ac:dyDescent="0.25">
      <c r="A5008" s="10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  <c r="Q5008" s="11"/>
      <c r="R5008" s="11"/>
      <c r="S5008" s="11"/>
    </row>
    <row r="5009" spans="1:19" s="9" customFormat="1" x14ac:dyDescent="0.25">
      <c r="A5009" s="10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  <c r="Q5009" s="11"/>
      <c r="R5009" s="11"/>
      <c r="S5009" s="11"/>
    </row>
    <row r="5010" spans="1:19" s="9" customFormat="1" x14ac:dyDescent="0.25">
      <c r="A5010" s="10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  <c r="Q5010" s="11"/>
      <c r="R5010" s="11"/>
      <c r="S5010" s="11"/>
    </row>
    <row r="5011" spans="1:19" s="9" customFormat="1" x14ac:dyDescent="0.25">
      <c r="A5011" s="10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  <c r="Q5011" s="11"/>
      <c r="R5011" s="11"/>
      <c r="S5011" s="11"/>
    </row>
    <row r="5012" spans="1:19" s="9" customFormat="1" x14ac:dyDescent="0.25">
      <c r="A5012" s="10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  <c r="Q5012" s="11"/>
      <c r="R5012" s="11"/>
      <c r="S5012" s="11"/>
    </row>
    <row r="5013" spans="1:19" s="9" customFormat="1" x14ac:dyDescent="0.25">
      <c r="A5013" s="10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  <c r="Q5013" s="11"/>
      <c r="R5013" s="11"/>
      <c r="S5013" s="11"/>
    </row>
    <row r="5014" spans="1:19" s="9" customFormat="1" x14ac:dyDescent="0.25">
      <c r="A5014" s="10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  <c r="Q5014" s="11"/>
      <c r="R5014" s="11"/>
      <c r="S5014" s="11"/>
    </row>
    <row r="5015" spans="1:19" s="9" customFormat="1" x14ac:dyDescent="0.25">
      <c r="A5015" s="10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  <c r="Q5015" s="11"/>
      <c r="R5015" s="11"/>
      <c r="S5015" s="11"/>
    </row>
    <row r="5016" spans="1:19" s="9" customFormat="1" x14ac:dyDescent="0.25">
      <c r="A5016" s="10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  <c r="Q5016" s="11"/>
      <c r="R5016" s="11"/>
      <c r="S5016" s="11"/>
    </row>
    <row r="5017" spans="1:19" s="9" customFormat="1" x14ac:dyDescent="0.25">
      <c r="A5017" s="10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  <c r="Q5017" s="11"/>
      <c r="R5017" s="11"/>
      <c r="S5017" s="11"/>
    </row>
    <row r="5018" spans="1:19" s="9" customFormat="1" x14ac:dyDescent="0.25">
      <c r="A5018" s="10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  <c r="Q5018" s="11"/>
      <c r="R5018" s="11"/>
      <c r="S5018" s="11"/>
    </row>
    <row r="5019" spans="1:19" s="9" customFormat="1" x14ac:dyDescent="0.25">
      <c r="A5019" s="10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  <c r="Q5019" s="11"/>
      <c r="R5019" s="11"/>
      <c r="S5019" s="11"/>
    </row>
    <row r="5020" spans="1:19" s="9" customFormat="1" x14ac:dyDescent="0.25">
      <c r="A5020" s="10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  <c r="Q5020" s="11"/>
      <c r="R5020" s="11"/>
      <c r="S5020" s="11"/>
    </row>
    <row r="5021" spans="1:19" s="9" customFormat="1" x14ac:dyDescent="0.25">
      <c r="A5021" s="10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  <c r="Q5021" s="11"/>
      <c r="R5021" s="11"/>
      <c r="S5021" s="11"/>
    </row>
    <row r="5022" spans="1:19" s="9" customFormat="1" x14ac:dyDescent="0.25">
      <c r="A5022" s="10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  <c r="Q5022" s="11"/>
      <c r="R5022" s="11"/>
      <c r="S5022" s="11"/>
    </row>
    <row r="5023" spans="1:19" s="9" customFormat="1" x14ac:dyDescent="0.25">
      <c r="A5023" s="10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  <c r="Q5023" s="11"/>
      <c r="R5023" s="11"/>
      <c r="S5023" s="11"/>
    </row>
    <row r="5024" spans="1:19" s="9" customFormat="1" x14ac:dyDescent="0.25">
      <c r="A5024" s="10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  <c r="Q5024" s="11"/>
      <c r="R5024" s="11"/>
      <c r="S5024" s="11"/>
    </row>
    <row r="5025" spans="1:19" s="9" customFormat="1" x14ac:dyDescent="0.25">
      <c r="A5025" s="10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  <c r="Q5025" s="11"/>
      <c r="R5025" s="11"/>
      <c r="S5025" s="11"/>
    </row>
    <row r="5026" spans="1:19" s="9" customFormat="1" x14ac:dyDescent="0.25">
      <c r="A5026" s="10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  <c r="Q5026" s="11"/>
      <c r="R5026" s="11"/>
      <c r="S5026" s="11"/>
    </row>
    <row r="5027" spans="1:19" s="9" customFormat="1" x14ac:dyDescent="0.25">
      <c r="A5027" s="10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  <c r="Q5027" s="11"/>
      <c r="R5027" s="11"/>
      <c r="S5027" s="11"/>
    </row>
    <row r="5028" spans="1:19" s="9" customFormat="1" x14ac:dyDescent="0.25">
      <c r="A5028" s="10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  <c r="Q5028" s="11"/>
      <c r="R5028" s="11"/>
      <c r="S5028" s="11"/>
    </row>
    <row r="5029" spans="1:19" s="9" customFormat="1" x14ac:dyDescent="0.25">
      <c r="A5029" s="10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  <c r="Q5029" s="11"/>
      <c r="R5029" s="11"/>
      <c r="S5029" s="11"/>
    </row>
    <row r="5030" spans="1:19" s="9" customFormat="1" x14ac:dyDescent="0.25">
      <c r="A5030" s="10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  <c r="Q5030" s="11"/>
      <c r="R5030" s="11"/>
      <c r="S5030" s="11"/>
    </row>
    <row r="5031" spans="1:19" s="9" customFormat="1" x14ac:dyDescent="0.25">
      <c r="A5031" s="10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  <c r="Q5031" s="11"/>
      <c r="R5031" s="11"/>
      <c r="S5031" s="11"/>
    </row>
    <row r="5032" spans="1:19" s="9" customFormat="1" x14ac:dyDescent="0.25">
      <c r="A5032" s="10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  <c r="Q5032" s="11"/>
      <c r="R5032" s="11"/>
      <c r="S5032" s="11"/>
    </row>
    <row r="5033" spans="1:19" s="9" customFormat="1" x14ac:dyDescent="0.25">
      <c r="A5033" s="10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  <c r="Q5033" s="11"/>
      <c r="R5033" s="11"/>
      <c r="S5033" s="11"/>
    </row>
    <row r="5034" spans="1:19" s="9" customFormat="1" x14ac:dyDescent="0.25">
      <c r="A5034" s="10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  <c r="Q5034" s="11"/>
      <c r="R5034" s="11"/>
      <c r="S5034" s="11"/>
    </row>
    <row r="5035" spans="1:19" s="9" customFormat="1" x14ac:dyDescent="0.25">
      <c r="A5035" s="10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  <c r="Q5035" s="11"/>
      <c r="R5035" s="11"/>
      <c r="S5035" s="11"/>
    </row>
    <row r="5036" spans="1:19" s="9" customFormat="1" x14ac:dyDescent="0.25">
      <c r="A5036" s="10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  <c r="Q5036" s="11"/>
      <c r="R5036" s="11"/>
      <c r="S5036" s="11"/>
    </row>
    <row r="5037" spans="1:19" s="9" customFormat="1" x14ac:dyDescent="0.25">
      <c r="A5037" s="10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  <c r="Q5037" s="11"/>
      <c r="R5037" s="11"/>
      <c r="S5037" s="11"/>
    </row>
    <row r="5038" spans="1:19" s="9" customFormat="1" x14ac:dyDescent="0.25">
      <c r="A5038" s="10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  <c r="Q5038" s="11"/>
      <c r="R5038" s="11"/>
      <c r="S5038" s="11"/>
    </row>
    <row r="5039" spans="1:19" s="9" customFormat="1" x14ac:dyDescent="0.25">
      <c r="A5039" s="10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  <c r="Q5039" s="11"/>
      <c r="R5039" s="11"/>
      <c r="S5039" s="11"/>
    </row>
    <row r="5040" spans="1:19" s="9" customFormat="1" x14ac:dyDescent="0.25">
      <c r="A5040" s="10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  <c r="Q5040" s="11"/>
      <c r="R5040" s="11"/>
      <c r="S5040" s="11"/>
    </row>
    <row r="5041" spans="1:19" s="9" customFormat="1" x14ac:dyDescent="0.25">
      <c r="A5041" s="10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  <c r="Q5041" s="11"/>
      <c r="R5041" s="11"/>
      <c r="S5041" s="11"/>
    </row>
    <row r="5042" spans="1:19" s="9" customFormat="1" x14ac:dyDescent="0.25">
      <c r="A5042" s="10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  <c r="Q5042" s="11"/>
      <c r="R5042" s="11"/>
      <c r="S5042" s="11"/>
    </row>
    <row r="5043" spans="1:19" s="9" customFormat="1" x14ac:dyDescent="0.25">
      <c r="A5043" s="10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  <c r="Q5043" s="11"/>
      <c r="R5043" s="11"/>
      <c r="S5043" s="11"/>
    </row>
    <row r="5044" spans="1:19" s="9" customFormat="1" x14ac:dyDescent="0.25">
      <c r="A5044" s="10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  <c r="Q5044" s="11"/>
      <c r="R5044" s="11"/>
      <c r="S5044" s="11"/>
    </row>
    <row r="5045" spans="1:19" s="9" customFormat="1" x14ac:dyDescent="0.25">
      <c r="A5045" s="10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  <c r="Q5045" s="11"/>
      <c r="R5045" s="11"/>
      <c r="S5045" s="11"/>
    </row>
    <row r="5046" spans="1:19" s="9" customFormat="1" x14ac:dyDescent="0.25">
      <c r="A5046" s="10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  <c r="Q5046" s="11"/>
      <c r="R5046" s="11"/>
      <c r="S5046" s="11"/>
    </row>
    <row r="5047" spans="1:19" s="9" customFormat="1" x14ac:dyDescent="0.25">
      <c r="A5047" s="10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  <c r="Q5047" s="11"/>
      <c r="R5047" s="11"/>
      <c r="S5047" s="11"/>
    </row>
    <row r="5048" spans="1:19" s="9" customFormat="1" x14ac:dyDescent="0.25">
      <c r="A5048" s="10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  <c r="Q5048" s="11"/>
      <c r="R5048" s="11"/>
      <c r="S5048" s="11"/>
    </row>
    <row r="5049" spans="1:19" s="9" customFormat="1" x14ac:dyDescent="0.25">
      <c r="A5049" s="10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  <c r="Q5049" s="11"/>
      <c r="R5049" s="11"/>
      <c r="S5049" s="11"/>
    </row>
    <row r="5050" spans="1:19" s="9" customFormat="1" x14ac:dyDescent="0.25">
      <c r="A5050" s="10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  <c r="Q5050" s="11"/>
      <c r="R5050" s="11"/>
      <c r="S5050" s="11"/>
    </row>
    <row r="5051" spans="1:19" s="9" customFormat="1" x14ac:dyDescent="0.25">
      <c r="A5051" s="10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  <c r="Q5051" s="11"/>
      <c r="R5051" s="11"/>
      <c r="S5051" s="11"/>
    </row>
    <row r="5052" spans="1:19" s="9" customFormat="1" x14ac:dyDescent="0.25">
      <c r="A5052" s="10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  <c r="Q5052" s="11"/>
      <c r="R5052" s="11"/>
      <c r="S5052" s="11"/>
    </row>
    <row r="5053" spans="1:19" s="9" customFormat="1" x14ac:dyDescent="0.25">
      <c r="A5053" s="10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  <c r="Q5053" s="11"/>
      <c r="R5053" s="11"/>
      <c r="S5053" s="11"/>
    </row>
    <row r="5054" spans="1:19" s="9" customFormat="1" x14ac:dyDescent="0.25">
      <c r="A5054" s="10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  <c r="Q5054" s="11"/>
      <c r="R5054" s="11"/>
      <c r="S5054" s="11"/>
    </row>
    <row r="5055" spans="1:19" s="9" customFormat="1" x14ac:dyDescent="0.25">
      <c r="A5055" s="10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  <c r="Q5055" s="11"/>
      <c r="R5055" s="11"/>
      <c r="S5055" s="11"/>
    </row>
    <row r="5056" spans="1:19" s="9" customFormat="1" x14ac:dyDescent="0.25">
      <c r="A5056" s="10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  <c r="Q5056" s="11"/>
      <c r="R5056" s="11"/>
      <c r="S5056" s="11"/>
    </row>
    <row r="5057" spans="1:19" s="9" customFormat="1" x14ac:dyDescent="0.25">
      <c r="A5057" s="10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  <c r="Q5057" s="11"/>
      <c r="R5057" s="11"/>
      <c r="S5057" s="11"/>
    </row>
    <row r="5058" spans="1:19" s="9" customFormat="1" x14ac:dyDescent="0.25">
      <c r="A5058" s="10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  <c r="Q5058" s="11"/>
      <c r="R5058" s="11"/>
      <c r="S5058" s="11"/>
    </row>
    <row r="5059" spans="1:19" s="9" customFormat="1" x14ac:dyDescent="0.25">
      <c r="A5059" s="10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  <c r="Q5059" s="11"/>
      <c r="R5059" s="11"/>
      <c r="S5059" s="11"/>
    </row>
    <row r="5060" spans="1:19" s="9" customFormat="1" x14ac:dyDescent="0.25">
      <c r="A5060" s="10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  <c r="Q5060" s="11"/>
      <c r="R5060" s="11"/>
      <c r="S5060" s="11"/>
    </row>
    <row r="5061" spans="1:19" s="9" customFormat="1" x14ac:dyDescent="0.25">
      <c r="A5061" s="10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  <c r="Q5061" s="11"/>
      <c r="R5061" s="11"/>
      <c r="S5061" s="11"/>
    </row>
    <row r="5062" spans="1:19" s="9" customFormat="1" x14ac:dyDescent="0.25">
      <c r="A5062" s="10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  <c r="Q5062" s="11"/>
      <c r="R5062" s="11"/>
      <c r="S5062" s="11"/>
    </row>
    <row r="5063" spans="1:19" s="9" customFormat="1" x14ac:dyDescent="0.25">
      <c r="A5063" s="10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  <c r="Q5063" s="11"/>
      <c r="R5063" s="11"/>
      <c r="S5063" s="11"/>
    </row>
    <row r="5064" spans="1:19" s="9" customFormat="1" x14ac:dyDescent="0.25">
      <c r="A5064" s="10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  <c r="Q5064" s="11"/>
      <c r="R5064" s="11"/>
      <c r="S5064" s="11"/>
    </row>
    <row r="5065" spans="1:19" s="9" customFormat="1" x14ac:dyDescent="0.25">
      <c r="A5065" s="10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  <c r="Q5065" s="11"/>
      <c r="R5065" s="11"/>
      <c r="S5065" s="11"/>
    </row>
    <row r="5066" spans="1:19" s="9" customFormat="1" x14ac:dyDescent="0.25">
      <c r="A5066" s="10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  <c r="Q5066" s="11"/>
      <c r="R5066" s="11"/>
      <c r="S5066" s="11"/>
    </row>
    <row r="5067" spans="1:19" s="9" customFormat="1" x14ac:dyDescent="0.25">
      <c r="A5067" s="10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  <c r="Q5067" s="11"/>
      <c r="R5067" s="11"/>
      <c r="S5067" s="11"/>
    </row>
    <row r="5068" spans="1:19" s="9" customFormat="1" x14ac:dyDescent="0.25">
      <c r="A5068" s="10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  <c r="Q5068" s="11"/>
      <c r="R5068" s="11"/>
      <c r="S5068" s="11"/>
    </row>
    <row r="5069" spans="1:19" s="9" customFormat="1" x14ac:dyDescent="0.25">
      <c r="A5069" s="10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  <c r="Q5069" s="11"/>
      <c r="R5069" s="11"/>
      <c r="S5069" s="11"/>
    </row>
    <row r="5070" spans="1:19" s="9" customFormat="1" x14ac:dyDescent="0.25">
      <c r="A5070" s="10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  <c r="Q5070" s="11"/>
      <c r="R5070" s="11"/>
      <c r="S5070" s="11"/>
    </row>
    <row r="5071" spans="1:19" s="9" customFormat="1" x14ac:dyDescent="0.25">
      <c r="A5071" s="10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  <c r="Q5071" s="11"/>
      <c r="R5071" s="11"/>
      <c r="S5071" s="11"/>
    </row>
    <row r="5072" spans="1:19" s="9" customFormat="1" x14ac:dyDescent="0.25">
      <c r="A5072" s="10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  <c r="Q5072" s="11"/>
      <c r="R5072" s="11"/>
      <c r="S5072" s="11"/>
    </row>
    <row r="5073" spans="1:19" s="9" customFormat="1" x14ac:dyDescent="0.25">
      <c r="A5073" s="10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  <c r="Q5073" s="11"/>
      <c r="R5073" s="11"/>
      <c r="S5073" s="11"/>
    </row>
    <row r="5074" spans="1:19" s="9" customFormat="1" x14ac:dyDescent="0.25">
      <c r="A5074" s="10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  <c r="Q5074" s="11"/>
      <c r="R5074" s="11"/>
      <c r="S5074" s="11"/>
    </row>
    <row r="5075" spans="1:19" s="9" customFormat="1" x14ac:dyDescent="0.25">
      <c r="A5075" s="10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  <c r="Q5075" s="11"/>
      <c r="R5075" s="11"/>
      <c r="S5075" s="11"/>
    </row>
    <row r="5076" spans="1:19" s="9" customFormat="1" x14ac:dyDescent="0.25">
      <c r="A5076" s="10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  <c r="Q5076" s="11"/>
      <c r="R5076" s="11"/>
      <c r="S5076" s="11"/>
    </row>
    <row r="5077" spans="1:19" s="9" customFormat="1" x14ac:dyDescent="0.25">
      <c r="A5077" s="10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  <c r="Q5077" s="11"/>
      <c r="R5077" s="11"/>
      <c r="S5077" s="11"/>
    </row>
    <row r="5078" spans="1:19" s="9" customFormat="1" x14ac:dyDescent="0.25">
      <c r="A5078" s="10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  <c r="Q5078" s="11"/>
      <c r="R5078" s="11"/>
      <c r="S5078" s="11"/>
    </row>
    <row r="5079" spans="1:19" s="9" customFormat="1" x14ac:dyDescent="0.25">
      <c r="A5079" s="10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  <c r="Q5079" s="11"/>
      <c r="R5079" s="11"/>
      <c r="S5079" s="11"/>
    </row>
    <row r="5080" spans="1:19" s="9" customFormat="1" x14ac:dyDescent="0.25">
      <c r="A5080" s="10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  <c r="Q5080" s="11"/>
      <c r="R5080" s="11"/>
      <c r="S5080" s="11"/>
    </row>
    <row r="5081" spans="1:19" s="9" customFormat="1" x14ac:dyDescent="0.25">
      <c r="A5081" s="10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  <c r="Q5081" s="11"/>
      <c r="R5081" s="11"/>
      <c r="S5081" s="11"/>
    </row>
    <row r="5082" spans="1:19" s="9" customFormat="1" x14ac:dyDescent="0.25">
      <c r="A5082" s="10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  <c r="Q5082" s="11"/>
      <c r="R5082" s="11"/>
      <c r="S5082" s="11"/>
    </row>
    <row r="5083" spans="1:19" s="9" customFormat="1" x14ac:dyDescent="0.25">
      <c r="A5083" s="10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  <c r="Q5083" s="11"/>
      <c r="R5083" s="11"/>
      <c r="S5083" s="11"/>
    </row>
    <row r="5084" spans="1:19" s="9" customFormat="1" x14ac:dyDescent="0.25">
      <c r="A5084" s="10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  <c r="Q5084" s="11"/>
      <c r="R5084" s="11"/>
      <c r="S5084" s="11"/>
    </row>
    <row r="5085" spans="1:19" s="9" customFormat="1" x14ac:dyDescent="0.25">
      <c r="A5085" s="10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  <c r="Q5085" s="11"/>
      <c r="R5085" s="11"/>
      <c r="S5085" s="11"/>
    </row>
    <row r="5086" spans="1:19" s="9" customFormat="1" x14ac:dyDescent="0.25">
      <c r="A5086" s="10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  <c r="Q5086" s="11"/>
      <c r="R5086" s="11"/>
      <c r="S5086" s="11"/>
    </row>
    <row r="5087" spans="1:19" s="9" customFormat="1" x14ac:dyDescent="0.25">
      <c r="A5087" s="10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  <c r="Q5087" s="11"/>
      <c r="R5087" s="11"/>
      <c r="S5087" s="11"/>
    </row>
    <row r="5088" spans="1:19" s="9" customFormat="1" x14ac:dyDescent="0.25">
      <c r="A5088" s="10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  <c r="Q5088" s="11"/>
      <c r="R5088" s="11"/>
      <c r="S5088" s="11"/>
    </row>
    <row r="5089" spans="1:19" s="9" customFormat="1" x14ac:dyDescent="0.25">
      <c r="A5089" s="10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  <c r="Q5089" s="11"/>
      <c r="R5089" s="11"/>
      <c r="S5089" s="11"/>
    </row>
    <row r="5090" spans="1:19" s="9" customFormat="1" x14ac:dyDescent="0.25">
      <c r="A5090" s="10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  <c r="Q5090" s="11"/>
      <c r="R5090" s="11"/>
      <c r="S5090" s="11"/>
    </row>
    <row r="5091" spans="1:19" s="9" customFormat="1" x14ac:dyDescent="0.25">
      <c r="A5091" s="10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  <c r="Q5091" s="11"/>
      <c r="R5091" s="11"/>
      <c r="S5091" s="11"/>
    </row>
    <row r="5092" spans="1:19" s="9" customFormat="1" x14ac:dyDescent="0.25">
      <c r="A5092" s="10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  <c r="Q5092" s="11"/>
      <c r="R5092" s="11"/>
      <c r="S5092" s="11"/>
    </row>
    <row r="5093" spans="1:19" s="9" customFormat="1" x14ac:dyDescent="0.25">
      <c r="A5093" s="10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  <c r="Q5093" s="11"/>
      <c r="R5093" s="11"/>
      <c r="S5093" s="11"/>
    </row>
    <row r="5094" spans="1:19" s="9" customFormat="1" x14ac:dyDescent="0.25">
      <c r="A5094" s="10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  <c r="Q5094" s="11"/>
      <c r="R5094" s="11"/>
      <c r="S5094" s="11"/>
    </row>
    <row r="5095" spans="1:19" s="9" customFormat="1" x14ac:dyDescent="0.25">
      <c r="A5095" s="10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  <c r="Q5095" s="11"/>
      <c r="R5095" s="11"/>
      <c r="S5095" s="11"/>
    </row>
    <row r="5096" spans="1:19" s="9" customFormat="1" x14ac:dyDescent="0.25">
      <c r="A5096" s="10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  <c r="Q5096" s="11"/>
      <c r="R5096" s="11"/>
      <c r="S5096" s="11"/>
    </row>
    <row r="5097" spans="1:19" s="9" customFormat="1" x14ac:dyDescent="0.25">
      <c r="A5097" s="10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  <c r="Q5097" s="11"/>
      <c r="R5097" s="11"/>
      <c r="S5097" s="11"/>
    </row>
    <row r="5098" spans="1:19" s="9" customFormat="1" x14ac:dyDescent="0.25">
      <c r="A5098" s="10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  <c r="Q5098" s="11"/>
      <c r="R5098" s="11"/>
      <c r="S5098" s="11"/>
    </row>
    <row r="5099" spans="1:19" s="9" customFormat="1" x14ac:dyDescent="0.25">
      <c r="A5099" s="10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  <c r="Q5099" s="11"/>
      <c r="R5099" s="11"/>
      <c r="S5099" s="11"/>
    </row>
    <row r="5100" spans="1:19" s="9" customFormat="1" x14ac:dyDescent="0.25">
      <c r="A5100" s="10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  <c r="Q5100" s="11"/>
      <c r="R5100" s="11"/>
      <c r="S5100" s="11"/>
    </row>
    <row r="5101" spans="1:19" s="9" customFormat="1" x14ac:dyDescent="0.25">
      <c r="A5101" s="10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  <c r="Q5101" s="11"/>
      <c r="R5101" s="11"/>
      <c r="S5101" s="11"/>
    </row>
    <row r="5102" spans="1:19" s="9" customFormat="1" x14ac:dyDescent="0.25">
      <c r="A5102" s="10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  <c r="Q5102" s="11"/>
      <c r="R5102" s="11"/>
      <c r="S5102" s="11"/>
    </row>
    <row r="5103" spans="1:19" s="9" customFormat="1" x14ac:dyDescent="0.25">
      <c r="A5103" s="10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  <c r="Q5103" s="11"/>
      <c r="R5103" s="11"/>
      <c r="S5103" s="11"/>
    </row>
    <row r="5104" spans="1:19" s="9" customFormat="1" x14ac:dyDescent="0.25">
      <c r="A5104" s="10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  <c r="Q5104" s="11"/>
      <c r="R5104" s="11"/>
      <c r="S5104" s="11"/>
    </row>
    <row r="5105" spans="1:19" s="9" customFormat="1" x14ac:dyDescent="0.25">
      <c r="A5105" s="10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  <c r="Q5105" s="11"/>
      <c r="R5105" s="11"/>
      <c r="S5105" s="11"/>
    </row>
    <row r="5106" spans="1:19" s="9" customFormat="1" x14ac:dyDescent="0.25">
      <c r="A5106" s="10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  <c r="Q5106" s="11"/>
      <c r="R5106" s="11"/>
      <c r="S5106" s="11"/>
    </row>
    <row r="5107" spans="1:19" s="9" customFormat="1" x14ac:dyDescent="0.25">
      <c r="A5107" s="10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  <c r="Q5107" s="11"/>
      <c r="R5107" s="11"/>
      <c r="S5107" s="11"/>
    </row>
    <row r="5108" spans="1:19" s="9" customFormat="1" x14ac:dyDescent="0.25">
      <c r="A5108" s="10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  <c r="Q5108" s="11"/>
      <c r="R5108" s="11"/>
      <c r="S5108" s="11"/>
    </row>
    <row r="5109" spans="1:19" s="9" customFormat="1" x14ac:dyDescent="0.25">
      <c r="A5109" s="10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  <c r="Q5109" s="11"/>
      <c r="R5109" s="11"/>
      <c r="S5109" s="11"/>
    </row>
    <row r="5110" spans="1:19" s="9" customFormat="1" x14ac:dyDescent="0.25">
      <c r="A5110" s="10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  <c r="Q5110" s="11"/>
      <c r="R5110" s="11"/>
      <c r="S5110" s="11"/>
    </row>
    <row r="5111" spans="1:19" s="9" customFormat="1" x14ac:dyDescent="0.25">
      <c r="A5111" s="10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  <c r="Q5111" s="11"/>
      <c r="R5111" s="11"/>
      <c r="S5111" s="11"/>
    </row>
    <row r="5112" spans="1:19" s="9" customFormat="1" x14ac:dyDescent="0.25">
      <c r="A5112" s="10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  <c r="Q5112" s="11"/>
      <c r="R5112" s="11"/>
      <c r="S5112" s="11"/>
    </row>
    <row r="5113" spans="1:19" s="9" customFormat="1" x14ac:dyDescent="0.25">
      <c r="A5113" s="10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  <c r="Q5113" s="11"/>
      <c r="R5113" s="11"/>
      <c r="S5113" s="11"/>
    </row>
    <row r="5114" spans="1:19" s="9" customFormat="1" x14ac:dyDescent="0.25">
      <c r="A5114" s="10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  <c r="Q5114" s="11"/>
      <c r="R5114" s="11"/>
      <c r="S5114" s="11"/>
    </row>
    <row r="5115" spans="1:19" s="9" customFormat="1" x14ac:dyDescent="0.25">
      <c r="A5115" s="10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  <c r="Q5115" s="11"/>
      <c r="R5115" s="11"/>
      <c r="S5115" s="11"/>
    </row>
    <row r="5116" spans="1:19" s="9" customFormat="1" x14ac:dyDescent="0.25">
      <c r="A5116" s="10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  <c r="Q5116" s="11"/>
      <c r="R5116" s="11"/>
      <c r="S5116" s="11"/>
    </row>
    <row r="5117" spans="1:19" s="9" customFormat="1" x14ac:dyDescent="0.25">
      <c r="A5117" s="10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  <c r="Q5117" s="11"/>
      <c r="R5117" s="11"/>
      <c r="S5117" s="11"/>
    </row>
    <row r="5118" spans="1:19" s="9" customFormat="1" x14ac:dyDescent="0.25">
      <c r="A5118" s="10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  <c r="Q5118" s="11"/>
      <c r="R5118" s="11"/>
      <c r="S5118" s="11"/>
    </row>
    <row r="5119" spans="1:19" s="9" customFormat="1" x14ac:dyDescent="0.25">
      <c r="A5119" s="10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  <c r="Q5119" s="11"/>
      <c r="R5119" s="11"/>
      <c r="S5119" s="11"/>
    </row>
    <row r="5120" spans="1:19" s="9" customFormat="1" x14ac:dyDescent="0.25">
      <c r="A5120" s="10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  <c r="Q5120" s="11"/>
      <c r="R5120" s="11"/>
      <c r="S5120" s="11"/>
    </row>
    <row r="5121" spans="1:19" s="9" customFormat="1" x14ac:dyDescent="0.25">
      <c r="A5121" s="10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  <c r="Q5121" s="11"/>
      <c r="R5121" s="11"/>
      <c r="S5121" s="11"/>
    </row>
    <row r="5122" spans="1:19" s="9" customFormat="1" x14ac:dyDescent="0.25">
      <c r="A5122" s="10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  <c r="Q5122" s="11"/>
      <c r="R5122" s="11"/>
      <c r="S5122" s="11"/>
    </row>
    <row r="5123" spans="1:19" s="9" customFormat="1" x14ac:dyDescent="0.25">
      <c r="A5123" s="10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  <c r="Q5123" s="11"/>
      <c r="R5123" s="11"/>
      <c r="S5123" s="11"/>
    </row>
    <row r="5124" spans="1:19" s="9" customFormat="1" x14ac:dyDescent="0.25">
      <c r="A5124" s="10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  <c r="Q5124" s="11"/>
      <c r="R5124" s="11"/>
      <c r="S5124" s="11"/>
    </row>
    <row r="5125" spans="1:19" s="9" customFormat="1" x14ac:dyDescent="0.25">
      <c r="A5125" s="10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  <c r="Q5125" s="11"/>
      <c r="R5125" s="11"/>
      <c r="S5125" s="11"/>
    </row>
    <row r="5126" spans="1:19" s="9" customFormat="1" x14ac:dyDescent="0.25">
      <c r="A5126" s="10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  <c r="Q5126" s="11"/>
      <c r="R5126" s="11"/>
      <c r="S5126" s="11"/>
    </row>
    <row r="5127" spans="1:19" s="9" customFormat="1" x14ac:dyDescent="0.25">
      <c r="A5127" s="10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  <c r="Q5127" s="11"/>
      <c r="R5127" s="11"/>
      <c r="S5127" s="11"/>
    </row>
    <row r="5128" spans="1:19" s="9" customFormat="1" x14ac:dyDescent="0.25">
      <c r="A5128" s="10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  <c r="Q5128" s="11"/>
      <c r="R5128" s="11"/>
      <c r="S5128" s="11"/>
    </row>
    <row r="5129" spans="1:19" s="9" customFormat="1" x14ac:dyDescent="0.25">
      <c r="A5129" s="10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  <c r="Q5129" s="11"/>
      <c r="R5129" s="11"/>
      <c r="S5129" s="11"/>
    </row>
    <row r="5130" spans="1:19" s="9" customFormat="1" x14ac:dyDescent="0.25">
      <c r="A5130" s="10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  <c r="Q5130" s="11"/>
      <c r="R5130" s="11"/>
      <c r="S5130" s="11"/>
    </row>
    <row r="5131" spans="1:19" s="9" customFormat="1" x14ac:dyDescent="0.25">
      <c r="A5131" s="10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  <c r="Q5131" s="11"/>
      <c r="R5131" s="11"/>
      <c r="S5131" s="11"/>
    </row>
    <row r="5132" spans="1:19" s="9" customFormat="1" x14ac:dyDescent="0.25">
      <c r="A5132" s="10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  <c r="Q5132" s="11"/>
      <c r="R5132" s="11"/>
      <c r="S5132" s="11"/>
    </row>
    <row r="5133" spans="1:19" s="9" customFormat="1" x14ac:dyDescent="0.25">
      <c r="A5133" s="10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  <c r="Q5133" s="11"/>
      <c r="R5133" s="11"/>
      <c r="S5133" s="11"/>
    </row>
    <row r="5134" spans="1:19" s="9" customFormat="1" x14ac:dyDescent="0.25">
      <c r="A5134" s="10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  <c r="Q5134" s="11"/>
      <c r="R5134" s="11"/>
      <c r="S5134" s="11"/>
    </row>
    <row r="5135" spans="1:19" s="9" customFormat="1" x14ac:dyDescent="0.25">
      <c r="A5135" s="10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  <c r="Q5135" s="11"/>
      <c r="R5135" s="11"/>
      <c r="S5135" s="11"/>
    </row>
    <row r="5136" spans="1:19" s="9" customFormat="1" x14ac:dyDescent="0.25">
      <c r="A5136" s="10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  <c r="Q5136" s="11"/>
      <c r="R5136" s="11"/>
      <c r="S5136" s="11"/>
    </row>
    <row r="5137" spans="1:19" s="9" customFormat="1" x14ac:dyDescent="0.25">
      <c r="A5137" s="10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  <c r="Q5137" s="11"/>
      <c r="R5137" s="11"/>
      <c r="S5137" s="11"/>
    </row>
    <row r="5138" spans="1:19" s="9" customFormat="1" x14ac:dyDescent="0.25">
      <c r="A5138" s="10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  <c r="Q5138" s="11"/>
      <c r="R5138" s="11"/>
      <c r="S5138" s="11"/>
    </row>
    <row r="5139" spans="1:19" s="9" customFormat="1" x14ac:dyDescent="0.25">
      <c r="A5139" s="10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  <c r="Q5139" s="11"/>
      <c r="R5139" s="11"/>
      <c r="S5139" s="11"/>
    </row>
    <row r="5140" spans="1:19" s="9" customFormat="1" x14ac:dyDescent="0.25">
      <c r="A5140" s="10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  <c r="Q5140" s="11"/>
      <c r="R5140" s="11"/>
      <c r="S5140" s="11"/>
    </row>
    <row r="5141" spans="1:19" s="9" customFormat="1" x14ac:dyDescent="0.25">
      <c r="A5141" s="10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  <c r="Q5141" s="11"/>
      <c r="R5141" s="11"/>
      <c r="S5141" s="11"/>
    </row>
    <row r="5142" spans="1:19" s="9" customFormat="1" x14ac:dyDescent="0.25">
      <c r="A5142" s="10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  <c r="Q5142" s="11"/>
      <c r="R5142" s="11"/>
      <c r="S5142" s="11"/>
    </row>
    <row r="5143" spans="1:19" s="9" customFormat="1" x14ac:dyDescent="0.25">
      <c r="A5143" s="10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  <c r="Q5143" s="11"/>
      <c r="R5143" s="11"/>
      <c r="S5143" s="11"/>
    </row>
    <row r="5144" spans="1:19" s="9" customFormat="1" x14ac:dyDescent="0.25">
      <c r="A5144" s="10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  <c r="Q5144" s="11"/>
      <c r="R5144" s="11"/>
      <c r="S5144" s="11"/>
    </row>
    <row r="5145" spans="1:19" s="9" customFormat="1" x14ac:dyDescent="0.25">
      <c r="A5145" s="10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  <c r="Q5145" s="11"/>
      <c r="R5145" s="11"/>
      <c r="S5145" s="11"/>
    </row>
    <row r="5146" spans="1:19" s="9" customFormat="1" x14ac:dyDescent="0.25">
      <c r="A5146" s="10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  <c r="Q5146" s="11"/>
      <c r="R5146" s="11"/>
      <c r="S5146" s="11"/>
    </row>
    <row r="5147" spans="1:19" s="9" customFormat="1" x14ac:dyDescent="0.25">
      <c r="A5147" s="10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  <c r="Q5147" s="11"/>
      <c r="R5147" s="11"/>
      <c r="S5147" s="11"/>
    </row>
    <row r="5148" spans="1:19" s="9" customFormat="1" x14ac:dyDescent="0.25">
      <c r="A5148" s="10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  <c r="Q5148" s="11"/>
      <c r="R5148" s="11"/>
      <c r="S5148" s="11"/>
    </row>
    <row r="5149" spans="1:19" s="9" customFormat="1" x14ac:dyDescent="0.25">
      <c r="A5149" s="10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  <c r="Q5149" s="11"/>
      <c r="R5149" s="11"/>
      <c r="S5149" s="11"/>
    </row>
    <row r="5150" spans="1:19" s="9" customFormat="1" x14ac:dyDescent="0.25">
      <c r="A5150" s="10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  <c r="Q5150" s="11"/>
      <c r="R5150" s="11"/>
      <c r="S5150" s="11"/>
    </row>
    <row r="5151" spans="1:19" s="9" customFormat="1" x14ac:dyDescent="0.25">
      <c r="A5151" s="10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  <c r="Q5151" s="11"/>
      <c r="R5151" s="11"/>
      <c r="S5151" s="11"/>
    </row>
    <row r="5152" spans="1:19" s="9" customFormat="1" x14ac:dyDescent="0.25">
      <c r="A5152" s="10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  <c r="Q5152" s="11"/>
      <c r="R5152" s="11"/>
      <c r="S5152" s="11"/>
    </row>
    <row r="5153" spans="1:19" s="9" customFormat="1" x14ac:dyDescent="0.25">
      <c r="A5153" s="10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  <c r="Q5153" s="11"/>
      <c r="R5153" s="11"/>
      <c r="S5153" s="11"/>
    </row>
    <row r="5154" spans="1:19" s="9" customFormat="1" x14ac:dyDescent="0.25">
      <c r="A5154" s="10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  <c r="Q5154" s="11"/>
      <c r="R5154" s="11"/>
      <c r="S5154" s="11"/>
    </row>
    <row r="5155" spans="1:19" s="9" customFormat="1" x14ac:dyDescent="0.25">
      <c r="A5155" s="10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  <c r="Q5155" s="11"/>
      <c r="R5155" s="11"/>
      <c r="S5155" s="11"/>
    </row>
    <row r="5156" spans="1:19" s="9" customFormat="1" x14ac:dyDescent="0.25">
      <c r="A5156" s="10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  <c r="Q5156" s="11"/>
      <c r="R5156" s="11"/>
      <c r="S5156" s="11"/>
    </row>
    <row r="5157" spans="1:19" s="9" customFormat="1" x14ac:dyDescent="0.25">
      <c r="A5157" s="10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  <c r="Q5157" s="11"/>
      <c r="R5157" s="11"/>
      <c r="S5157" s="11"/>
    </row>
    <row r="5158" spans="1:19" s="9" customFormat="1" x14ac:dyDescent="0.25">
      <c r="A5158" s="10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  <c r="Q5158" s="11"/>
      <c r="R5158" s="11"/>
      <c r="S5158" s="11"/>
    </row>
    <row r="5159" spans="1:19" s="9" customFormat="1" x14ac:dyDescent="0.25">
      <c r="A5159" s="10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  <c r="Q5159" s="11"/>
      <c r="R5159" s="11"/>
      <c r="S5159" s="11"/>
    </row>
    <row r="5160" spans="1:19" s="9" customFormat="1" x14ac:dyDescent="0.25">
      <c r="A5160" s="10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  <c r="Q5160" s="11"/>
      <c r="R5160" s="11"/>
      <c r="S5160" s="11"/>
    </row>
    <row r="5161" spans="1:19" s="9" customFormat="1" x14ac:dyDescent="0.25">
      <c r="A5161" s="10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  <c r="Q5161" s="11"/>
      <c r="R5161" s="11"/>
      <c r="S5161" s="11"/>
    </row>
    <row r="5162" spans="1:19" s="9" customFormat="1" x14ac:dyDescent="0.25">
      <c r="A5162" s="10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  <c r="Q5162" s="11"/>
      <c r="R5162" s="11"/>
      <c r="S5162" s="11"/>
    </row>
    <row r="5163" spans="1:19" s="9" customFormat="1" x14ac:dyDescent="0.25">
      <c r="A5163" s="10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  <c r="Q5163" s="11"/>
      <c r="R5163" s="11"/>
      <c r="S5163" s="11"/>
    </row>
    <row r="5164" spans="1:19" s="9" customFormat="1" x14ac:dyDescent="0.25">
      <c r="A5164" s="10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  <c r="Q5164" s="11"/>
      <c r="R5164" s="11"/>
      <c r="S5164" s="11"/>
    </row>
    <row r="5165" spans="1:19" s="9" customFormat="1" x14ac:dyDescent="0.25">
      <c r="A5165" s="10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  <c r="Q5165" s="11"/>
      <c r="R5165" s="11"/>
      <c r="S5165" s="11"/>
    </row>
    <row r="5166" spans="1:19" s="9" customFormat="1" x14ac:dyDescent="0.25">
      <c r="A5166" s="10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  <c r="Q5166" s="11"/>
      <c r="R5166" s="11"/>
      <c r="S5166" s="11"/>
    </row>
    <row r="5167" spans="1:19" s="9" customFormat="1" x14ac:dyDescent="0.25">
      <c r="A5167" s="10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  <c r="Q5167" s="11"/>
      <c r="R5167" s="11"/>
      <c r="S5167" s="11"/>
    </row>
    <row r="5168" spans="1:19" s="9" customFormat="1" x14ac:dyDescent="0.25">
      <c r="A5168" s="10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  <c r="Q5168" s="11"/>
      <c r="R5168" s="11"/>
      <c r="S5168" s="11"/>
    </row>
    <row r="5169" spans="1:19" s="9" customFormat="1" x14ac:dyDescent="0.25">
      <c r="A5169" s="10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  <c r="Q5169" s="11"/>
      <c r="R5169" s="11"/>
      <c r="S5169" s="11"/>
    </row>
    <row r="5170" spans="1:19" s="9" customFormat="1" x14ac:dyDescent="0.25">
      <c r="A5170" s="10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  <c r="Q5170" s="11"/>
      <c r="R5170" s="11"/>
      <c r="S5170" s="11"/>
    </row>
    <row r="5171" spans="1:19" s="9" customFormat="1" x14ac:dyDescent="0.25">
      <c r="A5171" s="10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  <c r="Q5171" s="11"/>
      <c r="R5171" s="11"/>
      <c r="S5171" s="11"/>
    </row>
    <row r="5172" spans="1:19" s="9" customFormat="1" x14ac:dyDescent="0.25">
      <c r="A5172" s="10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  <c r="Q5172" s="11"/>
      <c r="R5172" s="11"/>
      <c r="S5172" s="11"/>
    </row>
    <row r="5173" spans="1:19" s="9" customFormat="1" x14ac:dyDescent="0.25">
      <c r="A5173" s="10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  <c r="Q5173" s="11"/>
      <c r="R5173" s="11"/>
      <c r="S5173" s="11"/>
    </row>
    <row r="5174" spans="1:19" s="9" customFormat="1" x14ac:dyDescent="0.25">
      <c r="A5174" s="10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  <c r="Q5174" s="11"/>
      <c r="R5174" s="11"/>
      <c r="S5174" s="11"/>
    </row>
    <row r="5175" spans="1:19" s="9" customFormat="1" x14ac:dyDescent="0.25">
      <c r="A5175" s="10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  <c r="Q5175" s="11"/>
      <c r="R5175" s="11"/>
      <c r="S5175" s="11"/>
    </row>
    <row r="5176" spans="1:19" s="9" customFormat="1" x14ac:dyDescent="0.25">
      <c r="A5176" s="10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  <c r="Q5176" s="11"/>
      <c r="R5176" s="11"/>
      <c r="S5176" s="11"/>
    </row>
    <row r="5177" spans="1:19" s="9" customFormat="1" x14ac:dyDescent="0.25">
      <c r="A5177" s="10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  <c r="Q5177" s="11"/>
      <c r="R5177" s="11"/>
      <c r="S5177" s="11"/>
    </row>
    <row r="5178" spans="1:19" s="9" customFormat="1" x14ac:dyDescent="0.25">
      <c r="A5178" s="10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  <c r="Q5178" s="11"/>
      <c r="R5178" s="11"/>
      <c r="S5178" s="11"/>
    </row>
    <row r="5179" spans="1:19" s="9" customFormat="1" x14ac:dyDescent="0.25">
      <c r="A5179" s="10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  <c r="Q5179" s="11"/>
      <c r="R5179" s="11"/>
      <c r="S5179" s="11"/>
    </row>
    <row r="5180" spans="1:19" s="9" customFormat="1" x14ac:dyDescent="0.25">
      <c r="A5180" s="10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  <c r="Q5180" s="11"/>
      <c r="R5180" s="11"/>
      <c r="S5180" s="11"/>
    </row>
    <row r="5181" spans="1:19" s="9" customFormat="1" x14ac:dyDescent="0.25">
      <c r="A5181" s="10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  <c r="Q5181" s="11"/>
      <c r="R5181" s="11"/>
      <c r="S5181" s="11"/>
    </row>
    <row r="5182" spans="1:19" s="9" customFormat="1" x14ac:dyDescent="0.25">
      <c r="A5182" s="10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  <c r="Q5182" s="11"/>
      <c r="R5182" s="11"/>
      <c r="S5182" s="11"/>
    </row>
    <row r="5183" spans="1:19" s="9" customFormat="1" x14ac:dyDescent="0.25">
      <c r="A5183" s="10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  <c r="Q5183" s="11"/>
      <c r="R5183" s="11"/>
      <c r="S5183" s="11"/>
    </row>
    <row r="5184" spans="1:19" s="9" customFormat="1" x14ac:dyDescent="0.25">
      <c r="A5184" s="10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  <c r="Q5184" s="11"/>
      <c r="R5184" s="11"/>
      <c r="S5184" s="11"/>
    </row>
    <row r="5185" spans="1:19" s="9" customFormat="1" x14ac:dyDescent="0.25">
      <c r="A5185" s="10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  <c r="Q5185" s="11"/>
      <c r="R5185" s="11"/>
      <c r="S5185" s="11"/>
    </row>
    <row r="5186" spans="1:19" s="9" customFormat="1" x14ac:dyDescent="0.25">
      <c r="A5186" s="10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  <c r="Q5186" s="11"/>
      <c r="R5186" s="11"/>
      <c r="S5186" s="11"/>
    </row>
    <row r="5187" spans="1:19" s="9" customFormat="1" x14ac:dyDescent="0.25">
      <c r="A5187" s="10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  <c r="Q5187" s="11"/>
      <c r="R5187" s="11"/>
      <c r="S5187" s="11"/>
    </row>
    <row r="5188" spans="1:19" s="9" customFormat="1" x14ac:dyDescent="0.25">
      <c r="A5188" s="10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  <c r="Q5188" s="11"/>
      <c r="R5188" s="11"/>
      <c r="S5188" s="11"/>
    </row>
    <row r="5189" spans="1:19" s="9" customFormat="1" x14ac:dyDescent="0.25">
      <c r="A5189" s="10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  <c r="Q5189" s="11"/>
      <c r="R5189" s="11"/>
      <c r="S5189" s="11"/>
    </row>
    <row r="5190" spans="1:19" s="9" customFormat="1" x14ac:dyDescent="0.25">
      <c r="A5190" s="10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  <c r="Q5190" s="11"/>
      <c r="R5190" s="11"/>
      <c r="S5190" s="11"/>
    </row>
    <row r="5191" spans="1:19" s="9" customFormat="1" x14ac:dyDescent="0.25">
      <c r="A5191" s="10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  <c r="Q5191" s="11"/>
      <c r="R5191" s="11"/>
      <c r="S5191" s="11"/>
    </row>
    <row r="5192" spans="1:19" s="9" customFormat="1" x14ac:dyDescent="0.25">
      <c r="A5192" s="10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  <c r="Q5192" s="11"/>
      <c r="R5192" s="11"/>
      <c r="S5192" s="11"/>
    </row>
    <row r="5193" spans="1:19" s="9" customFormat="1" x14ac:dyDescent="0.25">
      <c r="A5193" s="10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  <c r="Q5193" s="11"/>
      <c r="R5193" s="11"/>
      <c r="S5193" s="11"/>
    </row>
    <row r="5194" spans="1:19" s="9" customFormat="1" x14ac:dyDescent="0.25">
      <c r="A5194" s="10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  <c r="Q5194" s="11"/>
      <c r="R5194" s="11"/>
      <c r="S5194" s="11"/>
    </row>
    <row r="5195" spans="1:19" s="9" customFormat="1" x14ac:dyDescent="0.25">
      <c r="A5195" s="10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  <c r="Q5195" s="11"/>
      <c r="R5195" s="11"/>
      <c r="S5195" s="11"/>
    </row>
    <row r="5196" spans="1:19" s="9" customFormat="1" x14ac:dyDescent="0.25">
      <c r="A5196" s="10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  <c r="Q5196" s="11"/>
      <c r="R5196" s="11"/>
      <c r="S5196" s="11"/>
    </row>
    <row r="5197" spans="1:19" s="9" customFormat="1" x14ac:dyDescent="0.25">
      <c r="A5197" s="10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  <c r="Q5197" s="11"/>
      <c r="R5197" s="11"/>
      <c r="S5197" s="11"/>
    </row>
    <row r="5198" spans="1:19" s="9" customFormat="1" x14ac:dyDescent="0.25">
      <c r="A5198" s="10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  <c r="Q5198" s="11"/>
      <c r="R5198" s="11"/>
      <c r="S5198" s="11"/>
    </row>
    <row r="5199" spans="1:19" s="9" customFormat="1" x14ac:dyDescent="0.25">
      <c r="A5199" s="10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  <c r="Q5199" s="11"/>
      <c r="R5199" s="11"/>
      <c r="S5199" s="11"/>
    </row>
    <row r="5200" spans="1:19" s="9" customFormat="1" x14ac:dyDescent="0.25">
      <c r="A5200" s="10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  <c r="Q5200" s="11"/>
      <c r="R5200" s="11"/>
      <c r="S5200" s="11"/>
    </row>
    <row r="5201" spans="1:19" s="9" customFormat="1" x14ac:dyDescent="0.25">
      <c r="A5201" s="10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  <c r="Q5201" s="11"/>
      <c r="R5201" s="11"/>
      <c r="S5201" s="11"/>
    </row>
    <row r="5202" spans="1:19" s="9" customFormat="1" x14ac:dyDescent="0.25">
      <c r="A5202" s="10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  <c r="Q5202" s="11"/>
      <c r="R5202" s="11"/>
      <c r="S5202" s="11"/>
    </row>
    <row r="5203" spans="1:19" s="9" customFormat="1" x14ac:dyDescent="0.25">
      <c r="A5203" s="10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  <c r="Q5203" s="11"/>
      <c r="R5203" s="11"/>
      <c r="S5203" s="11"/>
    </row>
    <row r="5204" spans="1:19" s="9" customFormat="1" x14ac:dyDescent="0.25">
      <c r="A5204" s="10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  <c r="Q5204" s="11"/>
      <c r="R5204" s="11"/>
      <c r="S5204" s="11"/>
    </row>
    <row r="5205" spans="1:19" s="9" customFormat="1" x14ac:dyDescent="0.25">
      <c r="A5205" s="10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  <c r="Q5205" s="11"/>
      <c r="R5205" s="11"/>
      <c r="S5205" s="11"/>
    </row>
    <row r="5206" spans="1:19" s="9" customFormat="1" x14ac:dyDescent="0.25">
      <c r="A5206" s="10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  <c r="Q5206" s="11"/>
      <c r="R5206" s="11"/>
      <c r="S5206" s="11"/>
    </row>
    <row r="5207" spans="1:19" s="9" customFormat="1" x14ac:dyDescent="0.25">
      <c r="A5207" s="10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  <c r="Q5207" s="11"/>
      <c r="R5207" s="11"/>
      <c r="S5207" s="11"/>
    </row>
    <row r="5208" spans="1:19" s="9" customFormat="1" x14ac:dyDescent="0.25">
      <c r="A5208" s="10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  <c r="Q5208" s="11"/>
      <c r="R5208" s="11"/>
      <c r="S5208" s="11"/>
    </row>
    <row r="5209" spans="1:19" s="9" customFormat="1" x14ac:dyDescent="0.25">
      <c r="A5209" s="10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  <c r="Q5209" s="11"/>
      <c r="R5209" s="11"/>
      <c r="S5209" s="11"/>
    </row>
    <row r="5210" spans="1:19" s="9" customFormat="1" x14ac:dyDescent="0.25">
      <c r="A5210" s="10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  <c r="Q5210" s="11"/>
      <c r="R5210" s="11"/>
      <c r="S5210" s="11"/>
    </row>
    <row r="5211" spans="1:19" s="9" customFormat="1" x14ac:dyDescent="0.25">
      <c r="A5211" s="10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  <c r="Q5211" s="11"/>
      <c r="R5211" s="11"/>
      <c r="S5211" s="11"/>
    </row>
    <row r="5212" spans="1:19" s="9" customFormat="1" x14ac:dyDescent="0.25">
      <c r="A5212" s="10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  <c r="Q5212" s="11"/>
      <c r="R5212" s="11"/>
      <c r="S5212" s="11"/>
    </row>
    <row r="5213" spans="1:19" s="9" customFormat="1" x14ac:dyDescent="0.25">
      <c r="A5213" s="10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  <c r="Q5213" s="11"/>
      <c r="R5213" s="11"/>
      <c r="S5213" s="11"/>
    </row>
    <row r="5214" spans="1:19" s="9" customFormat="1" x14ac:dyDescent="0.25">
      <c r="A5214" s="10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  <c r="Q5214" s="11"/>
      <c r="R5214" s="11"/>
      <c r="S5214" s="11"/>
    </row>
    <row r="5215" spans="1:19" s="9" customFormat="1" x14ac:dyDescent="0.25">
      <c r="A5215" s="10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  <c r="Q5215" s="11"/>
      <c r="R5215" s="11"/>
      <c r="S5215" s="11"/>
    </row>
    <row r="5216" spans="1:19" s="9" customFormat="1" x14ac:dyDescent="0.25">
      <c r="A5216" s="10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  <c r="Q5216" s="11"/>
      <c r="R5216" s="11"/>
      <c r="S5216" s="11"/>
    </row>
    <row r="5217" spans="1:19" s="9" customFormat="1" x14ac:dyDescent="0.25">
      <c r="A5217" s="10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  <c r="Q5217" s="11"/>
      <c r="R5217" s="11"/>
      <c r="S5217" s="11"/>
    </row>
    <row r="5218" spans="1:19" s="9" customFormat="1" x14ac:dyDescent="0.25">
      <c r="A5218" s="10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  <c r="Q5218" s="11"/>
      <c r="R5218" s="11"/>
      <c r="S5218" s="11"/>
    </row>
    <row r="5219" spans="1:19" s="9" customFormat="1" x14ac:dyDescent="0.25">
      <c r="A5219" s="10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  <c r="Q5219" s="11"/>
      <c r="R5219" s="11"/>
      <c r="S5219" s="11"/>
    </row>
    <row r="5220" spans="1:19" s="9" customFormat="1" x14ac:dyDescent="0.25">
      <c r="A5220" s="10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  <c r="Q5220" s="11"/>
      <c r="R5220" s="11"/>
      <c r="S5220" s="11"/>
    </row>
    <row r="5221" spans="1:19" s="9" customFormat="1" x14ac:dyDescent="0.25">
      <c r="A5221" s="10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  <c r="Q5221" s="11"/>
      <c r="R5221" s="11"/>
      <c r="S5221" s="11"/>
    </row>
    <row r="5222" spans="1:19" s="9" customFormat="1" x14ac:dyDescent="0.25">
      <c r="A5222" s="10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  <c r="Q5222" s="11"/>
      <c r="R5222" s="11"/>
      <c r="S5222" s="11"/>
    </row>
    <row r="5223" spans="1:19" s="9" customFormat="1" x14ac:dyDescent="0.25">
      <c r="A5223" s="10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  <c r="Q5223" s="11"/>
      <c r="R5223" s="11"/>
      <c r="S5223" s="11"/>
    </row>
    <row r="5224" spans="1:19" s="9" customFormat="1" x14ac:dyDescent="0.25">
      <c r="A5224" s="10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  <c r="Q5224" s="11"/>
      <c r="R5224" s="11"/>
      <c r="S5224" s="11"/>
    </row>
    <row r="5225" spans="1:19" s="9" customFormat="1" x14ac:dyDescent="0.25">
      <c r="A5225" s="10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  <c r="Q5225" s="11"/>
      <c r="R5225" s="11"/>
      <c r="S5225" s="11"/>
    </row>
    <row r="5226" spans="1:19" s="9" customFormat="1" x14ac:dyDescent="0.25">
      <c r="A5226" s="10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  <c r="Q5226" s="11"/>
      <c r="R5226" s="11"/>
      <c r="S5226" s="11"/>
    </row>
    <row r="5227" spans="1:19" s="9" customFormat="1" x14ac:dyDescent="0.25">
      <c r="A5227" s="10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  <c r="Q5227" s="11"/>
      <c r="R5227" s="11"/>
      <c r="S5227" s="11"/>
    </row>
    <row r="5228" spans="1:19" s="9" customFormat="1" x14ac:dyDescent="0.25">
      <c r="A5228" s="10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  <c r="Q5228" s="11"/>
      <c r="R5228" s="11"/>
      <c r="S5228" s="11"/>
    </row>
    <row r="5229" spans="1:19" s="9" customFormat="1" x14ac:dyDescent="0.25">
      <c r="A5229" s="10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  <c r="Q5229" s="11"/>
      <c r="R5229" s="11"/>
      <c r="S5229" s="11"/>
    </row>
    <row r="5230" spans="1:19" s="9" customFormat="1" x14ac:dyDescent="0.25">
      <c r="A5230" s="10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  <c r="Q5230" s="11"/>
      <c r="R5230" s="11"/>
      <c r="S5230" s="11"/>
    </row>
    <row r="5231" spans="1:19" s="9" customFormat="1" x14ac:dyDescent="0.25">
      <c r="A5231" s="10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  <c r="Q5231" s="11"/>
      <c r="R5231" s="11"/>
      <c r="S5231" s="11"/>
    </row>
    <row r="5232" spans="1:19" s="9" customFormat="1" x14ac:dyDescent="0.25">
      <c r="A5232" s="10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  <c r="Q5232" s="11"/>
      <c r="R5232" s="11"/>
      <c r="S5232" s="11"/>
    </row>
    <row r="5233" spans="1:19" s="9" customFormat="1" x14ac:dyDescent="0.25">
      <c r="A5233" s="10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  <c r="Q5233" s="11"/>
      <c r="R5233" s="11"/>
      <c r="S5233" s="11"/>
    </row>
    <row r="5234" spans="1:19" s="9" customFormat="1" x14ac:dyDescent="0.25">
      <c r="A5234" s="10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  <c r="Q5234" s="11"/>
      <c r="R5234" s="11"/>
      <c r="S5234" s="11"/>
    </row>
    <row r="5235" spans="1:19" s="9" customFormat="1" x14ac:dyDescent="0.25">
      <c r="A5235" s="10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  <c r="Q5235" s="11"/>
      <c r="R5235" s="11"/>
      <c r="S5235" s="11"/>
    </row>
    <row r="5236" spans="1:19" s="9" customFormat="1" x14ac:dyDescent="0.25">
      <c r="A5236" s="10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  <c r="Q5236" s="11"/>
      <c r="R5236" s="11"/>
      <c r="S5236" s="11"/>
    </row>
    <row r="5237" spans="1:19" s="9" customFormat="1" x14ac:dyDescent="0.25">
      <c r="A5237" s="10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  <c r="Q5237" s="11"/>
      <c r="R5237" s="11"/>
      <c r="S5237" s="11"/>
    </row>
    <row r="5238" spans="1:19" s="9" customFormat="1" x14ac:dyDescent="0.25">
      <c r="A5238" s="10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  <c r="Q5238" s="11"/>
      <c r="R5238" s="11"/>
      <c r="S5238" s="11"/>
    </row>
    <row r="5239" spans="1:19" s="9" customFormat="1" x14ac:dyDescent="0.25">
      <c r="A5239" s="10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  <c r="Q5239" s="11"/>
      <c r="R5239" s="11"/>
      <c r="S5239" s="11"/>
    </row>
    <row r="5240" spans="1:19" s="9" customFormat="1" x14ac:dyDescent="0.25">
      <c r="A5240" s="10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  <c r="Q5240" s="11"/>
      <c r="R5240" s="11"/>
      <c r="S5240" s="11"/>
    </row>
    <row r="5241" spans="1:19" s="9" customFormat="1" x14ac:dyDescent="0.25">
      <c r="A5241" s="10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  <c r="Q5241" s="11"/>
      <c r="R5241" s="11"/>
      <c r="S5241" s="11"/>
    </row>
    <row r="5242" spans="1:19" s="9" customFormat="1" x14ac:dyDescent="0.25">
      <c r="A5242" s="10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  <c r="Q5242" s="11"/>
      <c r="R5242" s="11"/>
      <c r="S5242" s="11"/>
    </row>
    <row r="5243" spans="1:19" s="9" customFormat="1" x14ac:dyDescent="0.25">
      <c r="A5243" s="10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  <c r="Q5243" s="11"/>
      <c r="R5243" s="11"/>
      <c r="S5243" s="11"/>
    </row>
    <row r="5244" spans="1:19" s="9" customFormat="1" x14ac:dyDescent="0.25">
      <c r="A5244" s="10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  <c r="Q5244" s="11"/>
      <c r="R5244" s="11"/>
      <c r="S5244" s="11"/>
    </row>
    <row r="5245" spans="1:19" s="9" customFormat="1" x14ac:dyDescent="0.25">
      <c r="A5245" s="10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  <c r="Q5245" s="11"/>
      <c r="R5245" s="11"/>
      <c r="S5245" s="11"/>
    </row>
    <row r="5246" spans="1:19" s="9" customFormat="1" x14ac:dyDescent="0.25">
      <c r="A5246" s="10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  <c r="Q5246" s="11"/>
      <c r="R5246" s="11"/>
      <c r="S5246" s="11"/>
    </row>
    <row r="5247" spans="1:19" s="9" customFormat="1" x14ac:dyDescent="0.25">
      <c r="A5247" s="10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  <c r="Q5247" s="11"/>
      <c r="R5247" s="11"/>
      <c r="S5247" s="11"/>
    </row>
    <row r="5248" spans="1:19" s="9" customFormat="1" x14ac:dyDescent="0.25">
      <c r="A5248" s="10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  <c r="Q5248" s="11"/>
      <c r="R5248" s="11"/>
      <c r="S5248" s="11"/>
    </row>
    <row r="5249" spans="1:19" s="9" customFormat="1" x14ac:dyDescent="0.25">
      <c r="A5249" s="10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  <c r="Q5249" s="11"/>
      <c r="R5249" s="11"/>
      <c r="S5249" s="11"/>
    </row>
    <row r="5250" spans="1:19" s="9" customFormat="1" x14ac:dyDescent="0.25">
      <c r="A5250" s="10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  <c r="Q5250" s="11"/>
      <c r="R5250" s="11"/>
      <c r="S5250" s="11"/>
    </row>
    <row r="5251" spans="1:19" s="9" customFormat="1" x14ac:dyDescent="0.25">
      <c r="A5251" s="10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  <c r="Q5251" s="11"/>
      <c r="R5251" s="11"/>
      <c r="S5251" s="11"/>
    </row>
    <row r="5252" spans="1:19" s="9" customFormat="1" x14ac:dyDescent="0.25">
      <c r="A5252" s="10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  <c r="Q5252" s="11"/>
      <c r="R5252" s="11"/>
      <c r="S5252" s="11"/>
    </row>
    <row r="5253" spans="1:19" s="9" customFormat="1" x14ac:dyDescent="0.25">
      <c r="A5253" s="10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  <c r="Q5253" s="11"/>
      <c r="R5253" s="11"/>
      <c r="S5253" s="11"/>
    </row>
    <row r="5254" spans="1:19" s="9" customFormat="1" x14ac:dyDescent="0.25">
      <c r="A5254" s="10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  <c r="Q5254" s="11"/>
      <c r="R5254" s="11"/>
      <c r="S5254" s="11"/>
    </row>
    <row r="5255" spans="1:19" s="9" customFormat="1" x14ac:dyDescent="0.25">
      <c r="A5255" s="10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  <c r="Q5255" s="11"/>
      <c r="R5255" s="11"/>
      <c r="S5255" s="11"/>
    </row>
    <row r="5256" spans="1:19" s="9" customFormat="1" x14ac:dyDescent="0.25">
      <c r="A5256" s="10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  <c r="Q5256" s="11"/>
      <c r="R5256" s="11"/>
      <c r="S5256" s="11"/>
    </row>
    <row r="5257" spans="1:19" s="9" customFormat="1" x14ac:dyDescent="0.25">
      <c r="A5257" s="10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  <c r="Q5257" s="11"/>
      <c r="R5257" s="11"/>
      <c r="S5257" s="11"/>
    </row>
    <row r="5258" spans="1:19" s="9" customFormat="1" x14ac:dyDescent="0.25">
      <c r="A5258" s="10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  <c r="Q5258" s="11"/>
      <c r="R5258" s="11"/>
      <c r="S5258" s="11"/>
    </row>
    <row r="5259" spans="1:19" s="9" customFormat="1" x14ac:dyDescent="0.25">
      <c r="A5259" s="10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  <c r="Q5259" s="11"/>
      <c r="R5259" s="11"/>
      <c r="S5259" s="11"/>
    </row>
    <row r="5260" spans="1:19" s="9" customFormat="1" x14ac:dyDescent="0.25">
      <c r="A5260" s="10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  <c r="Q5260" s="11"/>
      <c r="R5260" s="11"/>
      <c r="S5260" s="11"/>
    </row>
    <row r="5261" spans="1:19" s="9" customFormat="1" x14ac:dyDescent="0.25">
      <c r="A5261" s="10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  <c r="Q5261" s="11"/>
      <c r="R5261" s="11"/>
      <c r="S5261" s="11"/>
    </row>
    <row r="5262" spans="1:19" s="9" customFormat="1" x14ac:dyDescent="0.25">
      <c r="A5262" s="10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  <c r="Q5262" s="11"/>
      <c r="R5262" s="11"/>
      <c r="S5262" s="11"/>
    </row>
    <row r="5263" spans="1:19" s="9" customFormat="1" x14ac:dyDescent="0.25">
      <c r="A5263" s="10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  <c r="Q5263" s="11"/>
      <c r="R5263" s="11"/>
      <c r="S5263" s="11"/>
    </row>
    <row r="5264" spans="1:19" s="9" customFormat="1" x14ac:dyDescent="0.25">
      <c r="A5264" s="10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  <c r="Q5264" s="11"/>
      <c r="R5264" s="11"/>
      <c r="S5264" s="11"/>
    </row>
    <row r="5265" spans="1:19" s="9" customFormat="1" x14ac:dyDescent="0.25">
      <c r="A5265" s="10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  <c r="Q5265" s="11"/>
      <c r="R5265" s="11"/>
      <c r="S5265" s="11"/>
    </row>
    <row r="5266" spans="1:19" s="9" customFormat="1" x14ac:dyDescent="0.25">
      <c r="A5266" s="10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  <c r="Q5266" s="11"/>
      <c r="R5266" s="11"/>
      <c r="S5266" s="11"/>
    </row>
    <row r="5267" spans="1:19" s="9" customFormat="1" x14ac:dyDescent="0.25">
      <c r="A5267" s="10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  <c r="Q5267" s="11"/>
      <c r="R5267" s="11"/>
      <c r="S5267" s="11"/>
    </row>
    <row r="5268" spans="1:19" s="9" customFormat="1" x14ac:dyDescent="0.25">
      <c r="A5268" s="10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  <c r="Q5268" s="11"/>
      <c r="R5268" s="11"/>
      <c r="S5268" s="11"/>
    </row>
    <row r="5269" spans="1:19" s="9" customFormat="1" x14ac:dyDescent="0.25">
      <c r="A5269" s="10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  <c r="Q5269" s="11"/>
      <c r="R5269" s="11"/>
      <c r="S5269" s="11"/>
    </row>
    <row r="5270" spans="1:19" s="9" customFormat="1" x14ac:dyDescent="0.25">
      <c r="A5270" s="10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  <c r="Q5270" s="11"/>
      <c r="R5270" s="11"/>
      <c r="S5270" s="11"/>
    </row>
    <row r="5271" spans="1:19" s="9" customFormat="1" x14ac:dyDescent="0.25">
      <c r="A5271" s="10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  <c r="Q5271" s="11"/>
      <c r="R5271" s="11"/>
      <c r="S5271" s="11"/>
    </row>
    <row r="5272" spans="1:19" s="9" customFormat="1" x14ac:dyDescent="0.25">
      <c r="A5272" s="10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  <c r="Q5272" s="11"/>
      <c r="R5272" s="11"/>
      <c r="S5272" s="11"/>
    </row>
    <row r="5273" spans="1:19" s="9" customFormat="1" x14ac:dyDescent="0.25">
      <c r="A5273" s="10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  <c r="Q5273" s="11"/>
      <c r="R5273" s="11"/>
      <c r="S5273" s="11"/>
    </row>
    <row r="5274" spans="1:19" s="9" customFormat="1" x14ac:dyDescent="0.25">
      <c r="A5274" s="10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  <c r="Q5274" s="11"/>
      <c r="R5274" s="11"/>
      <c r="S5274" s="11"/>
    </row>
    <row r="5275" spans="1:19" s="9" customFormat="1" x14ac:dyDescent="0.25">
      <c r="A5275" s="10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  <c r="Q5275" s="11"/>
      <c r="R5275" s="11"/>
      <c r="S5275" s="11"/>
    </row>
    <row r="5276" spans="1:19" s="9" customFormat="1" x14ac:dyDescent="0.25">
      <c r="A5276" s="10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  <c r="Q5276" s="11"/>
      <c r="R5276" s="11"/>
      <c r="S5276" s="11"/>
    </row>
    <row r="5277" spans="1:19" s="9" customFormat="1" x14ac:dyDescent="0.25">
      <c r="A5277" s="10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  <c r="Q5277" s="11"/>
      <c r="R5277" s="11"/>
      <c r="S5277" s="11"/>
    </row>
    <row r="5278" spans="1:19" s="9" customFormat="1" x14ac:dyDescent="0.25">
      <c r="A5278" s="10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  <c r="Q5278" s="11"/>
      <c r="R5278" s="11"/>
      <c r="S5278" s="11"/>
    </row>
    <row r="5279" spans="1:19" s="9" customFormat="1" x14ac:dyDescent="0.25">
      <c r="A5279" s="10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  <c r="Q5279" s="11"/>
      <c r="R5279" s="11"/>
      <c r="S5279" s="11"/>
    </row>
    <row r="5280" spans="1:19" s="9" customFormat="1" x14ac:dyDescent="0.25">
      <c r="A5280" s="10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  <c r="Q5280" s="11"/>
      <c r="R5280" s="11"/>
      <c r="S5280" s="11"/>
    </row>
    <row r="5281" spans="1:19" s="9" customFormat="1" x14ac:dyDescent="0.25">
      <c r="A5281" s="10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  <c r="Q5281" s="11"/>
      <c r="R5281" s="11"/>
      <c r="S5281" s="11"/>
    </row>
    <row r="5282" spans="1:19" s="9" customFormat="1" x14ac:dyDescent="0.25">
      <c r="A5282" s="10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  <c r="Q5282" s="11"/>
      <c r="R5282" s="11"/>
      <c r="S5282" s="11"/>
    </row>
    <row r="5283" spans="1:19" s="9" customFormat="1" x14ac:dyDescent="0.25">
      <c r="A5283" s="10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  <c r="Q5283" s="11"/>
      <c r="R5283" s="11"/>
      <c r="S5283" s="11"/>
    </row>
    <row r="5284" spans="1:19" s="9" customFormat="1" x14ac:dyDescent="0.25">
      <c r="A5284" s="10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  <c r="Q5284" s="11"/>
      <c r="R5284" s="11"/>
      <c r="S5284" s="11"/>
    </row>
    <row r="5285" spans="1:19" s="9" customFormat="1" x14ac:dyDescent="0.25">
      <c r="A5285" s="10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  <c r="Q5285" s="11"/>
      <c r="R5285" s="11"/>
      <c r="S5285" s="11"/>
    </row>
    <row r="5286" spans="1:19" s="9" customFormat="1" x14ac:dyDescent="0.25">
      <c r="A5286" s="10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  <c r="Q5286" s="11"/>
      <c r="R5286" s="11"/>
      <c r="S5286" s="11"/>
    </row>
    <row r="5287" spans="1:19" s="9" customFormat="1" x14ac:dyDescent="0.25">
      <c r="A5287" s="10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  <c r="Q5287" s="11"/>
      <c r="R5287" s="11"/>
      <c r="S5287" s="11"/>
    </row>
    <row r="5288" spans="1:19" s="9" customFormat="1" x14ac:dyDescent="0.25">
      <c r="A5288" s="10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  <c r="Q5288" s="11"/>
      <c r="R5288" s="11"/>
      <c r="S5288" s="11"/>
    </row>
    <row r="5289" spans="1:19" s="9" customFormat="1" x14ac:dyDescent="0.25">
      <c r="A5289" s="10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  <c r="Q5289" s="11"/>
      <c r="R5289" s="11"/>
      <c r="S5289" s="11"/>
    </row>
    <row r="5290" spans="1:19" s="9" customFormat="1" x14ac:dyDescent="0.25">
      <c r="A5290" s="10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  <c r="Q5290" s="11"/>
      <c r="R5290" s="11"/>
      <c r="S5290" s="11"/>
    </row>
    <row r="5291" spans="1:19" s="9" customFormat="1" x14ac:dyDescent="0.25">
      <c r="A5291" s="10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  <c r="Q5291" s="11"/>
      <c r="R5291" s="11"/>
      <c r="S5291" s="11"/>
    </row>
    <row r="5292" spans="1:19" s="9" customFormat="1" x14ac:dyDescent="0.25">
      <c r="A5292" s="10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  <c r="Q5292" s="11"/>
      <c r="R5292" s="11"/>
      <c r="S5292" s="11"/>
    </row>
    <row r="5293" spans="1:19" s="9" customFormat="1" x14ac:dyDescent="0.25">
      <c r="A5293" s="10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  <c r="Q5293" s="11"/>
      <c r="R5293" s="11"/>
      <c r="S5293" s="11"/>
    </row>
    <row r="5294" spans="1:19" s="9" customFormat="1" x14ac:dyDescent="0.25">
      <c r="A5294" s="10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  <c r="Q5294" s="11"/>
      <c r="R5294" s="11"/>
      <c r="S5294" s="11"/>
    </row>
    <row r="5295" spans="1:19" s="9" customFormat="1" x14ac:dyDescent="0.25">
      <c r="A5295" s="10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  <c r="Q5295" s="11"/>
      <c r="R5295" s="11"/>
      <c r="S5295" s="11"/>
    </row>
    <row r="5296" spans="1:19" s="9" customFormat="1" x14ac:dyDescent="0.25">
      <c r="A5296" s="10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  <c r="Q5296" s="11"/>
      <c r="R5296" s="11"/>
      <c r="S5296" s="11"/>
    </row>
    <row r="5297" spans="1:19" s="9" customFormat="1" x14ac:dyDescent="0.25">
      <c r="A5297" s="10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  <c r="Q5297" s="11"/>
      <c r="R5297" s="11"/>
      <c r="S5297" s="11"/>
    </row>
    <row r="5298" spans="1:19" s="9" customFormat="1" x14ac:dyDescent="0.25">
      <c r="A5298" s="10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  <c r="Q5298" s="11"/>
      <c r="R5298" s="11"/>
      <c r="S5298" s="11"/>
    </row>
    <row r="5299" spans="1:19" s="9" customFormat="1" x14ac:dyDescent="0.25">
      <c r="A5299" s="10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  <c r="Q5299" s="11"/>
      <c r="R5299" s="11"/>
      <c r="S5299" s="11"/>
    </row>
    <row r="5300" spans="1:19" s="9" customFormat="1" x14ac:dyDescent="0.25">
      <c r="A5300" s="10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  <c r="Q5300" s="11"/>
      <c r="R5300" s="11"/>
      <c r="S5300" s="11"/>
    </row>
    <row r="5301" spans="1:19" s="9" customFormat="1" x14ac:dyDescent="0.25">
      <c r="A5301" s="10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  <c r="Q5301" s="11"/>
      <c r="R5301" s="11"/>
      <c r="S5301" s="11"/>
    </row>
    <row r="5302" spans="1:19" s="9" customFormat="1" x14ac:dyDescent="0.25">
      <c r="A5302" s="10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  <c r="Q5302" s="11"/>
      <c r="R5302" s="11"/>
      <c r="S5302" s="11"/>
    </row>
    <row r="5303" spans="1:19" s="9" customFormat="1" x14ac:dyDescent="0.25">
      <c r="A5303" s="10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  <c r="Q5303" s="11"/>
      <c r="R5303" s="11"/>
      <c r="S5303" s="11"/>
    </row>
    <row r="5304" spans="1:19" s="9" customFormat="1" x14ac:dyDescent="0.25">
      <c r="A5304" s="10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  <c r="Q5304" s="11"/>
      <c r="R5304" s="11"/>
      <c r="S5304" s="11"/>
    </row>
    <row r="5305" spans="1:19" s="9" customFormat="1" x14ac:dyDescent="0.25">
      <c r="A5305" s="10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  <c r="Q5305" s="11"/>
      <c r="R5305" s="11"/>
      <c r="S5305" s="11"/>
    </row>
    <row r="5306" spans="1:19" s="9" customFormat="1" x14ac:dyDescent="0.25">
      <c r="A5306" s="10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  <c r="Q5306" s="11"/>
      <c r="R5306" s="11"/>
      <c r="S5306" s="11"/>
    </row>
    <row r="5307" spans="1:19" s="9" customFormat="1" x14ac:dyDescent="0.25">
      <c r="A5307" s="10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  <c r="Q5307" s="11"/>
      <c r="R5307" s="11"/>
      <c r="S5307" s="11"/>
    </row>
    <row r="5308" spans="1:19" s="9" customFormat="1" x14ac:dyDescent="0.25">
      <c r="A5308" s="10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  <c r="Q5308" s="11"/>
      <c r="R5308" s="11"/>
      <c r="S5308" s="11"/>
    </row>
    <row r="5309" spans="1:19" s="9" customFormat="1" x14ac:dyDescent="0.25">
      <c r="A5309" s="10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  <c r="Q5309" s="11"/>
      <c r="R5309" s="11"/>
      <c r="S5309" s="11"/>
    </row>
    <row r="5310" spans="1:19" s="9" customFormat="1" x14ac:dyDescent="0.25">
      <c r="A5310" s="10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  <c r="Q5310" s="11"/>
      <c r="R5310" s="11"/>
      <c r="S5310" s="11"/>
    </row>
    <row r="5311" spans="1:19" s="9" customFormat="1" x14ac:dyDescent="0.25">
      <c r="A5311" s="10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  <c r="Q5311" s="11"/>
      <c r="R5311" s="11"/>
      <c r="S5311" s="11"/>
    </row>
    <row r="5312" spans="1:19" s="9" customFormat="1" x14ac:dyDescent="0.25">
      <c r="A5312" s="10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  <c r="Q5312" s="11"/>
      <c r="R5312" s="11"/>
      <c r="S5312" s="11"/>
    </row>
    <row r="5313" spans="1:19" s="9" customFormat="1" x14ac:dyDescent="0.25">
      <c r="A5313" s="10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  <c r="Q5313" s="11"/>
      <c r="R5313" s="11"/>
      <c r="S5313" s="11"/>
    </row>
    <row r="5314" spans="1:19" s="9" customFormat="1" x14ac:dyDescent="0.25">
      <c r="A5314" s="10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  <c r="Q5314" s="11"/>
      <c r="R5314" s="11"/>
      <c r="S5314" s="11"/>
    </row>
    <row r="5315" spans="1:19" s="9" customFormat="1" x14ac:dyDescent="0.25">
      <c r="A5315" s="10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  <c r="Q5315" s="11"/>
      <c r="R5315" s="11"/>
      <c r="S5315" s="11"/>
    </row>
    <row r="5316" spans="1:19" s="9" customFormat="1" x14ac:dyDescent="0.25">
      <c r="A5316" s="10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  <c r="Q5316" s="11"/>
      <c r="R5316" s="11"/>
      <c r="S5316" s="11"/>
    </row>
    <row r="5317" spans="1:19" s="9" customFormat="1" x14ac:dyDescent="0.25">
      <c r="A5317" s="10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  <c r="Q5317" s="11"/>
      <c r="R5317" s="11"/>
      <c r="S5317" s="11"/>
    </row>
    <row r="5318" spans="1:19" s="9" customFormat="1" x14ac:dyDescent="0.25">
      <c r="A5318" s="10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  <c r="Q5318" s="11"/>
      <c r="R5318" s="11"/>
      <c r="S5318" s="11"/>
    </row>
    <row r="5319" spans="1:19" s="9" customFormat="1" x14ac:dyDescent="0.25">
      <c r="A5319" s="10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  <c r="Q5319" s="11"/>
      <c r="R5319" s="11"/>
      <c r="S5319" s="11"/>
    </row>
    <row r="5320" spans="1:19" s="9" customFormat="1" x14ac:dyDescent="0.25">
      <c r="A5320" s="10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  <c r="Q5320" s="11"/>
      <c r="R5320" s="11"/>
      <c r="S5320" s="11"/>
    </row>
    <row r="5321" spans="1:19" s="9" customFormat="1" x14ac:dyDescent="0.25">
      <c r="A5321" s="10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  <c r="Q5321" s="11"/>
      <c r="R5321" s="11"/>
      <c r="S5321" s="11"/>
    </row>
    <row r="5322" spans="1:19" s="9" customFormat="1" x14ac:dyDescent="0.25">
      <c r="A5322" s="10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  <c r="Q5322" s="11"/>
      <c r="R5322" s="11"/>
      <c r="S5322" s="11"/>
    </row>
    <row r="5323" spans="1:19" s="9" customFormat="1" x14ac:dyDescent="0.25">
      <c r="A5323" s="10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  <c r="Q5323" s="11"/>
      <c r="R5323" s="11"/>
      <c r="S5323" s="11"/>
    </row>
    <row r="5324" spans="1:19" s="9" customFormat="1" x14ac:dyDescent="0.25">
      <c r="A5324" s="10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  <c r="Q5324" s="11"/>
      <c r="R5324" s="11"/>
      <c r="S5324" s="11"/>
    </row>
    <row r="5325" spans="1:19" s="9" customFormat="1" x14ac:dyDescent="0.25">
      <c r="A5325" s="10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  <c r="Q5325" s="11"/>
      <c r="R5325" s="11"/>
      <c r="S5325" s="11"/>
    </row>
    <row r="5326" spans="1:19" s="9" customFormat="1" x14ac:dyDescent="0.25">
      <c r="A5326" s="10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  <c r="Q5326" s="11"/>
      <c r="R5326" s="11"/>
      <c r="S5326" s="11"/>
    </row>
    <row r="5327" spans="1:19" s="9" customFormat="1" x14ac:dyDescent="0.25">
      <c r="A5327" s="10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  <c r="Q5327" s="11"/>
      <c r="R5327" s="11"/>
      <c r="S5327" s="11"/>
    </row>
    <row r="5328" spans="1:19" s="9" customFormat="1" x14ac:dyDescent="0.25">
      <c r="A5328" s="10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  <c r="Q5328" s="11"/>
      <c r="R5328" s="11"/>
      <c r="S5328" s="11"/>
    </row>
    <row r="5329" spans="1:19" s="9" customFormat="1" x14ac:dyDescent="0.25">
      <c r="A5329" s="10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  <c r="Q5329" s="11"/>
      <c r="R5329" s="11"/>
      <c r="S5329" s="11"/>
    </row>
    <row r="5330" spans="1:19" s="9" customFormat="1" x14ac:dyDescent="0.25">
      <c r="A5330" s="10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  <c r="Q5330" s="11"/>
      <c r="R5330" s="11"/>
      <c r="S5330" s="11"/>
    </row>
    <row r="5331" spans="1:19" s="9" customFormat="1" x14ac:dyDescent="0.25">
      <c r="A5331" s="10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  <c r="Q5331" s="11"/>
      <c r="R5331" s="11"/>
      <c r="S5331" s="11"/>
    </row>
    <row r="5332" spans="1:19" s="9" customFormat="1" x14ac:dyDescent="0.25">
      <c r="A5332" s="10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  <c r="Q5332" s="11"/>
      <c r="R5332" s="11"/>
      <c r="S5332" s="11"/>
    </row>
    <row r="5333" spans="1:19" s="9" customFormat="1" x14ac:dyDescent="0.25">
      <c r="A5333" s="10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  <c r="Q5333" s="11"/>
      <c r="R5333" s="11"/>
      <c r="S5333" s="11"/>
    </row>
    <row r="5334" spans="1:19" s="9" customFormat="1" x14ac:dyDescent="0.25">
      <c r="A5334" s="10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  <c r="Q5334" s="11"/>
      <c r="R5334" s="11"/>
      <c r="S5334" s="11"/>
    </row>
    <row r="5335" spans="1:19" s="9" customFormat="1" x14ac:dyDescent="0.25">
      <c r="A5335" s="10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  <c r="Q5335" s="11"/>
      <c r="R5335" s="11"/>
      <c r="S5335" s="11"/>
    </row>
    <row r="5336" spans="1:19" s="9" customFormat="1" x14ac:dyDescent="0.25">
      <c r="A5336" s="10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  <c r="Q5336" s="11"/>
      <c r="R5336" s="11"/>
      <c r="S5336" s="11"/>
    </row>
    <row r="5337" spans="1:19" s="9" customFormat="1" x14ac:dyDescent="0.25">
      <c r="A5337" s="10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  <c r="Q5337" s="11"/>
      <c r="R5337" s="11"/>
      <c r="S5337" s="11"/>
    </row>
    <row r="5338" spans="1:19" s="9" customFormat="1" x14ac:dyDescent="0.25">
      <c r="A5338" s="10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  <c r="Q5338" s="11"/>
      <c r="R5338" s="11"/>
      <c r="S5338" s="11"/>
    </row>
    <row r="5339" spans="1:19" s="9" customFormat="1" x14ac:dyDescent="0.25">
      <c r="A5339" s="10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  <c r="Q5339" s="11"/>
      <c r="R5339" s="11"/>
      <c r="S5339" s="11"/>
    </row>
    <row r="5340" spans="1:19" s="9" customFormat="1" x14ac:dyDescent="0.25">
      <c r="A5340" s="10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  <c r="Q5340" s="11"/>
      <c r="R5340" s="11"/>
      <c r="S5340" s="11"/>
    </row>
    <row r="5341" spans="1:19" s="9" customFormat="1" x14ac:dyDescent="0.25">
      <c r="A5341" s="10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  <c r="Q5341" s="11"/>
      <c r="R5341" s="11"/>
      <c r="S5341" s="11"/>
    </row>
    <row r="5342" spans="1:19" s="9" customFormat="1" x14ac:dyDescent="0.25">
      <c r="A5342" s="10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  <c r="Q5342" s="11"/>
      <c r="R5342" s="11"/>
      <c r="S5342" s="11"/>
    </row>
    <row r="5343" spans="1:19" s="9" customFormat="1" x14ac:dyDescent="0.25">
      <c r="A5343" s="10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  <c r="Q5343" s="11"/>
      <c r="R5343" s="11"/>
      <c r="S5343" s="11"/>
    </row>
    <row r="5344" spans="1:19" s="9" customFormat="1" x14ac:dyDescent="0.25">
      <c r="A5344" s="10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  <c r="Q5344" s="11"/>
      <c r="R5344" s="11"/>
      <c r="S5344" s="11"/>
    </row>
    <row r="5345" spans="1:19" s="9" customFormat="1" x14ac:dyDescent="0.25">
      <c r="A5345" s="10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  <c r="Q5345" s="11"/>
      <c r="R5345" s="11"/>
      <c r="S5345" s="11"/>
    </row>
    <row r="5346" spans="1:19" s="9" customFormat="1" x14ac:dyDescent="0.25">
      <c r="A5346" s="10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  <c r="Q5346" s="11"/>
      <c r="R5346" s="11"/>
      <c r="S5346" s="11"/>
    </row>
    <row r="5347" spans="1:19" s="9" customFormat="1" x14ac:dyDescent="0.25">
      <c r="A5347" s="10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  <c r="Q5347" s="11"/>
      <c r="R5347" s="11"/>
      <c r="S5347" s="11"/>
    </row>
    <row r="5348" spans="1:19" s="9" customFormat="1" x14ac:dyDescent="0.25">
      <c r="A5348" s="10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  <c r="Q5348" s="11"/>
      <c r="R5348" s="11"/>
      <c r="S5348" s="11"/>
    </row>
    <row r="5349" spans="1:19" s="9" customFormat="1" x14ac:dyDescent="0.25">
      <c r="A5349" s="10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  <c r="Q5349" s="11"/>
      <c r="R5349" s="11"/>
      <c r="S5349" s="11"/>
    </row>
    <row r="5350" spans="1:19" s="9" customFormat="1" x14ac:dyDescent="0.25">
      <c r="A5350" s="10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  <c r="Q5350" s="11"/>
      <c r="R5350" s="11"/>
      <c r="S5350" s="11"/>
    </row>
    <row r="5351" spans="1:19" s="9" customFormat="1" x14ac:dyDescent="0.25">
      <c r="A5351" s="10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  <c r="Q5351" s="11"/>
      <c r="R5351" s="11"/>
      <c r="S5351" s="11"/>
    </row>
    <row r="5352" spans="1:19" s="9" customFormat="1" x14ac:dyDescent="0.25">
      <c r="A5352" s="10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  <c r="Q5352" s="11"/>
      <c r="R5352" s="11"/>
      <c r="S5352" s="11"/>
    </row>
    <row r="5353" spans="1:19" s="9" customFormat="1" x14ac:dyDescent="0.25">
      <c r="A5353" s="10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  <c r="Q5353" s="11"/>
      <c r="R5353" s="11"/>
      <c r="S5353" s="11"/>
    </row>
    <row r="5354" spans="1:19" s="9" customFormat="1" x14ac:dyDescent="0.25">
      <c r="A5354" s="10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  <c r="Q5354" s="11"/>
      <c r="R5354" s="11"/>
      <c r="S5354" s="11"/>
    </row>
    <row r="5355" spans="1:19" s="9" customFormat="1" x14ac:dyDescent="0.25">
      <c r="A5355" s="10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  <c r="Q5355" s="11"/>
      <c r="R5355" s="11"/>
      <c r="S5355" s="11"/>
    </row>
    <row r="5356" spans="1:19" s="9" customFormat="1" x14ac:dyDescent="0.25">
      <c r="A5356" s="10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  <c r="Q5356" s="11"/>
      <c r="R5356" s="11"/>
      <c r="S5356" s="11"/>
    </row>
    <row r="5357" spans="1:19" s="9" customFormat="1" x14ac:dyDescent="0.25">
      <c r="A5357" s="10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  <c r="Q5357" s="11"/>
      <c r="R5357" s="11"/>
      <c r="S5357" s="11"/>
    </row>
    <row r="5358" spans="1:19" s="9" customFormat="1" x14ac:dyDescent="0.25">
      <c r="A5358" s="10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  <c r="Q5358" s="11"/>
      <c r="R5358" s="11"/>
      <c r="S5358" s="11"/>
    </row>
    <row r="5359" spans="1:19" s="9" customFormat="1" x14ac:dyDescent="0.25">
      <c r="A5359" s="10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  <c r="Q5359" s="11"/>
      <c r="R5359" s="11"/>
      <c r="S5359" s="11"/>
    </row>
    <row r="5360" spans="1:19" s="9" customFormat="1" x14ac:dyDescent="0.25">
      <c r="A5360" s="10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  <c r="Q5360" s="11"/>
      <c r="R5360" s="11"/>
      <c r="S5360" s="11"/>
    </row>
    <row r="5361" spans="1:19" s="9" customFormat="1" x14ac:dyDescent="0.25">
      <c r="A5361" s="10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  <c r="Q5361" s="11"/>
      <c r="R5361" s="11"/>
      <c r="S5361" s="11"/>
    </row>
    <row r="5362" spans="1:19" s="9" customFormat="1" x14ac:dyDescent="0.25">
      <c r="A5362" s="10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  <c r="Q5362" s="11"/>
      <c r="R5362" s="11"/>
      <c r="S5362" s="11"/>
    </row>
    <row r="5363" spans="1:19" s="9" customFormat="1" x14ac:dyDescent="0.25">
      <c r="A5363" s="10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  <c r="Q5363" s="11"/>
      <c r="R5363" s="11"/>
      <c r="S5363" s="11"/>
    </row>
    <row r="5364" spans="1:19" s="9" customFormat="1" x14ac:dyDescent="0.25">
      <c r="A5364" s="10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  <c r="Q5364" s="11"/>
      <c r="R5364" s="11"/>
      <c r="S5364" s="11"/>
    </row>
    <row r="5365" spans="1:19" s="9" customFormat="1" x14ac:dyDescent="0.25">
      <c r="A5365" s="10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  <c r="Q5365" s="11"/>
      <c r="R5365" s="11"/>
      <c r="S5365" s="11"/>
    </row>
    <row r="5366" spans="1:19" s="9" customFormat="1" x14ac:dyDescent="0.25">
      <c r="A5366" s="10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  <c r="Q5366" s="11"/>
      <c r="R5366" s="11"/>
      <c r="S5366" s="11"/>
    </row>
    <row r="5367" spans="1:19" s="9" customFormat="1" x14ac:dyDescent="0.25">
      <c r="A5367" s="10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  <c r="Q5367" s="11"/>
      <c r="R5367" s="11"/>
      <c r="S5367" s="11"/>
    </row>
    <row r="5368" spans="1:19" s="9" customFormat="1" x14ac:dyDescent="0.25">
      <c r="A5368" s="10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  <c r="Q5368" s="11"/>
      <c r="R5368" s="11"/>
      <c r="S5368" s="11"/>
    </row>
    <row r="5369" spans="1:19" s="9" customFormat="1" x14ac:dyDescent="0.25">
      <c r="A5369" s="10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  <c r="Q5369" s="11"/>
      <c r="R5369" s="11"/>
      <c r="S5369" s="11"/>
    </row>
    <row r="5370" spans="1:19" s="9" customFormat="1" x14ac:dyDescent="0.25">
      <c r="A5370" s="10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  <c r="Q5370" s="11"/>
      <c r="R5370" s="11"/>
      <c r="S5370" s="11"/>
    </row>
    <row r="5371" spans="1:19" s="9" customFormat="1" x14ac:dyDescent="0.25">
      <c r="A5371" s="10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  <c r="Q5371" s="11"/>
      <c r="R5371" s="11"/>
      <c r="S5371" s="11"/>
    </row>
    <row r="5372" spans="1:19" s="9" customFormat="1" x14ac:dyDescent="0.25">
      <c r="A5372" s="10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  <c r="Q5372" s="11"/>
      <c r="R5372" s="11"/>
      <c r="S5372" s="11"/>
    </row>
    <row r="5373" spans="1:19" s="9" customFormat="1" x14ac:dyDescent="0.25">
      <c r="A5373" s="10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  <c r="Q5373" s="11"/>
      <c r="R5373" s="11"/>
      <c r="S5373" s="11"/>
    </row>
    <row r="5374" spans="1:19" s="9" customFormat="1" x14ac:dyDescent="0.25">
      <c r="A5374" s="10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  <c r="Q5374" s="11"/>
      <c r="R5374" s="11"/>
      <c r="S5374" s="11"/>
    </row>
    <row r="5375" spans="1:19" s="9" customFormat="1" x14ac:dyDescent="0.25">
      <c r="A5375" s="10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  <c r="Q5375" s="11"/>
      <c r="R5375" s="11"/>
      <c r="S5375" s="11"/>
    </row>
    <row r="5376" spans="1:19" s="9" customFormat="1" x14ac:dyDescent="0.25">
      <c r="A5376" s="10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  <c r="Q5376" s="11"/>
      <c r="R5376" s="11"/>
      <c r="S5376" s="11"/>
    </row>
    <row r="5377" spans="1:19" s="9" customFormat="1" x14ac:dyDescent="0.25">
      <c r="A5377" s="10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  <c r="Q5377" s="11"/>
      <c r="R5377" s="11"/>
      <c r="S5377" s="11"/>
    </row>
    <row r="5378" spans="1:19" s="9" customFormat="1" x14ac:dyDescent="0.25">
      <c r="A5378" s="10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  <c r="Q5378" s="11"/>
      <c r="R5378" s="11"/>
      <c r="S5378" s="11"/>
    </row>
    <row r="5379" spans="1:19" s="9" customFormat="1" x14ac:dyDescent="0.25">
      <c r="A5379" s="10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  <c r="Q5379" s="11"/>
      <c r="R5379" s="11"/>
      <c r="S5379" s="11"/>
    </row>
    <row r="5380" spans="1:19" s="9" customFormat="1" x14ac:dyDescent="0.25">
      <c r="A5380" s="10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  <c r="Q5380" s="11"/>
      <c r="R5380" s="11"/>
      <c r="S5380" s="11"/>
    </row>
    <row r="5381" spans="1:19" s="9" customFormat="1" x14ac:dyDescent="0.25">
      <c r="A5381" s="10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  <c r="Q5381" s="11"/>
      <c r="R5381" s="11"/>
      <c r="S5381" s="11"/>
    </row>
    <row r="5382" spans="1:19" s="9" customFormat="1" x14ac:dyDescent="0.25">
      <c r="A5382" s="10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  <c r="Q5382" s="11"/>
      <c r="R5382" s="11"/>
      <c r="S5382" s="11"/>
    </row>
    <row r="5383" spans="1:19" s="9" customFormat="1" x14ac:dyDescent="0.25">
      <c r="A5383" s="10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  <c r="Q5383" s="11"/>
      <c r="R5383" s="11"/>
      <c r="S5383" s="11"/>
    </row>
    <row r="5384" spans="1:19" s="9" customFormat="1" x14ac:dyDescent="0.25">
      <c r="A5384" s="10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  <c r="Q5384" s="11"/>
      <c r="R5384" s="11"/>
      <c r="S5384" s="11"/>
    </row>
    <row r="5385" spans="1:19" s="9" customFormat="1" x14ac:dyDescent="0.25">
      <c r="A5385" s="10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  <c r="Q5385" s="11"/>
      <c r="R5385" s="11"/>
      <c r="S5385" s="11"/>
    </row>
    <row r="5386" spans="1:19" s="9" customFormat="1" x14ac:dyDescent="0.25">
      <c r="A5386" s="10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  <c r="Q5386" s="11"/>
      <c r="R5386" s="11"/>
      <c r="S5386" s="11"/>
    </row>
    <row r="5387" spans="1:19" s="9" customFormat="1" x14ac:dyDescent="0.25">
      <c r="A5387" s="10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  <c r="Q5387" s="11"/>
      <c r="R5387" s="11"/>
      <c r="S5387" s="11"/>
    </row>
    <row r="5388" spans="1:19" s="9" customFormat="1" x14ac:dyDescent="0.25">
      <c r="A5388" s="10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  <c r="Q5388" s="11"/>
      <c r="R5388" s="11"/>
      <c r="S5388" s="11"/>
    </row>
    <row r="5389" spans="1:19" s="9" customFormat="1" x14ac:dyDescent="0.25">
      <c r="A5389" s="10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  <c r="Q5389" s="11"/>
      <c r="R5389" s="11"/>
      <c r="S5389" s="11"/>
    </row>
    <row r="5390" spans="1:19" s="9" customFormat="1" x14ac:dyDescent="0.25">
      <c r="A5390" s="10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  <c r="Q5390" s="11"/>
      <c r="R5390" s="11"/>
      <c r="S5390" s="11"/>
    </row>
    <row r="5391" spans="1:19" s="9" customFormat="1" x14ac:dyDescent="0.25">
      <c r="A5391" s="10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  <c r="Q5391" s="11"/>
      <c r="R5391" s="11"/>
      <c r="S5391" s="11"/>
    </row>
    <row r="5392" spans="1:19" s="9" customFormat="1" x14ac:dyDescent="0.25">
      <c r="A5392" s="10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  <c r="Q5392" s="11"/>
      <c r="R5392" s="11"/>
      <c r="S5392" s="11"/>
    </row>
    <row r="5393" spans="1:19" s="9" customFormat="1" x14ac:dyDescent="0.25">
      <c r="A5393" s="10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  <c r="Q5393" s="11"/>
      <c r="R5393" s="11"/>
      <c r="S5393" s="11"/>
    </row>
    <row r="5394" spans="1:19" s="9" customFormat="1" x14ac:dyDescent="0.25">
      <c r="A5394" s="10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  <c r="Q5394" s="11"/>
      <c r="R5394" s="11"/>
      <c r="S5394" s="11"/>
    </row>
    <row r="5395" spans="1:19" s="9" customFormat="1" x14ac:dyDescent="0.25">
      <c r="A5395" s="10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  <c r="Q5395" s="11"/>
      <c r="R5395" s="11"/>
      <c r="S5395" s="11"/>
    </row>
    <row r="5396" spans="1:19" s="9" customFormat="1" x14ac:dyDescent="0.25">
      <c r="A5396" s="10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  <c r="Q5396" s="11"/>
      <c r="R5396" s="11"/>
      <c r="S5396" s="11"/>
    </row>
    <row r="5397" spans="1:19" s="9" customFormat="1" x14ac:dyDescent="0.25">
      <c r="A5397" s="10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  <c r="Q5397" s="11"/>
      <c r="R5397" s="11"/>
      <c r="S5397" s="11"/>
    </row>
    <row r="5398" spans="1:19" s="9" customFormat="1" x14ac:dyDescent="0.25">
      <c r="A5398" s="10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  <c r="Q5398" s="11"/>
      <c r="R5398" s="11"/>
      <c r="S5398" s="11"/>
    </row>
    <row r="5399" spans="1:19" s="9" customFormat="1" x14ac:dyDescent="0.25">
      <c r="A5399" s="10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  <c r="Q5399" s="11"/>
      <c r="R5399" s="11"/>
      <c r="S5399" s="11"/>
    </row>
    <row r="5400" spans="1:19" s="9" customFormat="1" x14ac:dyDescent="0.25">
      <c r="A5400" s="10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  <c r="Q5400" s="11"/>
      <c r="R5400" s="11"/>
      <c r="S5400" s="11"/>
    </row>
    <row r="5401" spans="1:19" s="9" customFormat="1" x14ac:dyDescent="0.25">
      <c r="A5401" s="10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  <c r="Q5401" s="11"/>
      <c r="R5401" s="11"/>
      <c r="S5401" s="11"/>
    </row>
    <row r="5402" spans="1:19" s="9" customFormat="1" x14ac:dyDescent="0.25">
      <c r="A5402" s="10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  <c r="Q5402" s="11"/>
      <c r="R5402" s="11"/>
      <c r="S5402" s="11"/>
    </row>
    <row r="5403" spans="1:19" s="9" customFormat="1" x14ac:dyDescent="0.25">
      <c r="A5403" s="10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  <c r="Q5403" s="11"/>
      <c r="R5403" s="11"/>
      <c r="S5403" s="11"/>
    </row>
    <row r="5404" spans="1:19" s="9" customFormat="1" x14ac:dyDescent="0.25">
      <c r="A5404" s="10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  <c r="Q5404" s="11"/>
      <c r="R5404" s="11"/>
      <c r="S5404" s="11"/>
    </row>
    <row r="5405" spans="1:19" s="9" customFormat="1" x14ac:dyDescent="0.25">
      <c r="A5405" s="10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  <c r="Q5405" s="11"/>
      <c r="R5405" s="11"/>
      <c r="S5405" s="11"/>
    </row>
    <row r="5406" spans="1:19" s="9" customFormat="1" x14ac:dyDescent="0.25">
      <c r="A5406" s="10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  <c r="Q5406" s="11"/>
      <c r="R5406" s="11"/>
      <c r="S5406" s="11"/>
    </row>
    <row r="5407" spans="1:19" s="9" customFormat="1" x14ac:dyDescent="0.25">
      <c r="A5407" s="10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  <c r="Q5407" s="11"/>
      <c r="R5407" s="11"/>
      <c r="S5407" s="11"/>
    </row>
    <row r="5408" spans="1:19" s="9" customFormat="1" x14ac:dyDescent="0.25">
      <c r="A5408" s="10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  <c r="Q5408" s="11"/>
      <c r="R5408" s="11"/>
      <c r="S5408" s="11"/>
    </row>
    <row r="5409" spans="1:19" s="9" customFormat="1" x14ac:dyDescent="0.25">
      <c r="A5409" s="10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  <c r="Q5409" s="11"/>
      <c r="R5409" s="11"/>
      <c r="S5409" s="11"/>
    </row>
    <row r="5410" spans="1:19" s="9" customFormat="1" x14ac:dyDescent="0.25">
      <c r="A5410" s="10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  <c r="Q5410" s="11"/>
      <c r="R5410" s="11"/>
      <c r="S5410" s="11"/>
    </row>
    <row r="5411" spans="1:19" s="9" customFormat="1" x14ac:dyDescent="0.25">
      <c r="A5411" s="10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  <c r="Q5411" s="11"/>
      <c r="R5411" s="11"/>
      <c r="S5411" s="11"/>
    </row>
    <row r="5412" spans="1:19" s="9" customFormat="1" x14ac:dyDescent="0.25">
      <c r="A5412" s="10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  <c r="Q5412" s="11"/>
      <c r="R5412" s="11"/>
      <c r="S5412" s="11"/>
    </row>
    <row r="5413" spans="1:19" s="9" customFormat="1" x14ac:dyDescent="0.25">
      <c r="A5413" s="10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  <c r="Q5413" s="11"/>
      <c r="R5413" s="11"/>
      <c r="S5413" s="11"/>
    </row>
    <row r="5414" spans="1:19" s="9" customFormat="1" x14ac:dyDescent="0.25">
      <c r="A5414" s="10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  <c r="Q5414" s="11"/>
      <c r="R5414" s="11"/>
      <c r="S5414" s="11"/>
    </row>
    <row r="5415" spans="1:19" s="9" customFormat="1" x14ac:dyDescent="0.25">
      <c r="A5415" s="10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  <c r="Q5415" s="11"/>
      <c r="R5415" s="11"/>
      <c r="S5415" s="11"/>
    </row>
    <row r="5416" spans="1:19" s="9" customFormat="1" x14ac:dyDescent="0.25">
      <c r="A5416" s="10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  <c r="Q5416" s="11"/>
      <c r="R5416" s="11"/>
      <c r="S5416" s="11"/>
    </row>
    <row r="5417" spans="1:19" s="9" customFormat="1" x14ac:dyDescent="0.25">
      <c r="A5417" s="10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  <c r="Q5417" s="11"/>
      <c r="R5417" s="11"/>
      <c r="S5417" s="11"/>
    </row>
    <row r="5418" spans="1:19" s="9" customFormat="1" x14ac:dyDescent="0.25">
      <c r="A5418" s="10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  <c r="Q5418" s="11"/>
      <c r="R5418" s="11"/>
      <c r="S5418" s="11"/>
    </row>
    <row r="5419" spans="1:19" s="9" customFormat="1" x14ac:dyDescent="0.25">
      <c r="A5419" s="10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  <c r="Q5419" s="11"/>
      <c r="R5419" s="11"/>
      <c r="S5419" s="11"/>
    </row>
    <row r="5420" spans="1:19" s="9" customFormat="1" x14ac:dyDescent="0.25">
      <c r="A5420" s="10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  <c r="Q5420" s="11"/>
      <c r="R5420" s="11"/>
      <c r="S5420" s="11"/>
    </row>
    <row r="5421" spans="1:19" s="9" customFormat="1" x14ac:dyDescent="0.25">
      <c r="A5421" s="10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  <c r="Q5421" s="11"/>
      <c r="R5421" s="11"/>
      <c r="S5421" s="11"/>
    </row>
    <row r="5422" spans="1:19" s="9" customFormat="1" x14ac:dyDescent="0.25">
      <c r="A5422" s="10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  <c r="Q5422" s="11"/>
      <c r="R5422" s="11"/>
      <c r="S5422" s="11"/>
    </row>
    <row r="5423" spans="1:19" s="9" customFormat="1" x14ac:dyDescent="0.25">
      <c r="A5423" s="10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  <c r="Q5423" s="11"/>
      <c r="R5423" s="11"/>
      <c r="S5423" s="11"/>
    </row>
    <row r="5424" spans="1:19" s="9" customFormat="1" x14ac:dyDescent="0.25">
      <c r="A5424" s="10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  <c r="Q5424" s="11"/>
      <c r="R5424" s="11"/>
      <c r="S5424" s="11"/>
    </row>
    <row r="5425" spans="1:19" s="9" customFormat="1" x14ac:dyDescent="0.25">
      <c r="A5425" s="10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  <c r="Q5425" s="11"/>
      <c r="R5425" s="11"/>
      <c r="S5425" s="11"/>
    </row>
    <row r="5426" spans="1:19" s="9" customFormat="1" x14ac:dyDescent="0.25">
      <c r="A5426" s="10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  <c r="Q5426" s="11"/>
      <c r="R5426" s="11"/>
      <c r="S5426" s="11"/>
    </row>
    <row r="5427" spans="1:19" s="9" customFormat="1" x14ac:dyDescent="0.25">
      <c r="A5427" s="10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  <c r="Q5427" s="11"/>
      <c r="R5427" s="11"/>
      <c r="S5427" s="11"/>
    </row>
    <row r="5428" spans="1:19" s="9" customFormat="1" x14ac:dyDescent="0.25">
      <c r="A5428" s="10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  <c r="Q5428" s="11"/>
      <c r="R5428" s="11"/>
      <c r="S5428" s="11"/>
    </row>
    <row r="5429" spans="1:19" s="9" customFormat="1" x14ac:dyDescent="0.25">
      <c r="A5429" s="10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  <c r="Q5429" s="11"/>
      <c r="R5429" s="11"/>
      <c r="S5429" s="11"/>
    </row>
    <row r="5430" spans="1:19" s="9" customFormat="1" x14ac:dyDescent="0.25">
      <c r="A5430" s="10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  <c r="Q5430" s="11"/>
      <c r="R5430" s="11"/>
      <c r="S5430" s="11"/>
    </row>
    <row r="5431" spans="1:19" s="9" customFormat="1" x14ac:dyDescent="0.25">
      <c r="A5431" s="10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  <c r="Q5431" s="11"/>
      <c r="R5431" s="11"/>
      <c r="S5431" s="11"/>
    </row>
    <row r="5432" spans="1:19" s="9" customFormat="1" x14ac:dyDescent="0.25">
      <c r="A5432" s="10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  <c r="Q5432" s="11"/>
      <c r="R5432" s="11"/>
      <c r="S5432" s="11"/>
    </row>
    <row r="5433" spans="1:19" s="9" customFormat="1" x14ac:dyDescent="0.25">
      <c r="A5433" s="10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  <c r="Q5433" s="11"/>
      <c r="R5433" s="11"/>
      <c r="S5433" s="11"/>
    </row>
    <row r="5434" spans="1:19" s="9" customFormat="1" x14ac:dyDescent="0.25">
      <c r="A5434" s="10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  <c r="Q5434" s="11"/>
      <c r="R5434" s="11"/>
      <c r="S5434" s="11"/>
    </row>
    <row r="5435" spans="1:19" s="9" customFormat="1" x14ac:dyDescent="0.25">
      <c r="A5435" s="10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  <c r="Q5435" s="11"/>
      <c r="R5435" s="11"/>
      <c r="S5435" s="11"/>
    </row>
    <row r="5436" spans="1:19" s="9" customFormat="1" x14ac:dyDescent="0.25">
      <c r="A5436" s="10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  <c r="Q5436" s="11"/>
      <c r="R5436" s="11"/>
      <c r="S5436" s="11"/>
    </row>
    <row r="5437" spans="1:19" s="9" customFormat="1" x14ac:dyDescent="0.25">
      <c r="A5437" s="10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  <c r="Q5437" s="11"/>
      <c r="R5437" s="11"/>
      <c r="S5437" s="11"/>
    </row>
    <row r="5438" spans="1:19" s="9" customFormat="1" x14ac:dyDescent="0.25">
      <c r="A5438" s="10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  <c r="Q5438" s="11"/>
      <c r="R5438" s="11"/>
      <c r="S5438" s="11"/>
    </row>
    <row r="5439" spans="1:19" s="9" customFormat="1" x14ac:dyDescent="0.25">
      <c r="A5439" s="10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  <c r="Q5439" s="11"/>
      <c r="R5439" s="11"/>
      <c r="S5439" s="11"/>
    </row>
    <row r="5440" spans="1:19" s="9" customFormat="1" x14ac:dyDescent="0.25">
      <c r="A5440" s="10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  <c r="Q5440" s="11"/>
      <c r="R5440" s="11"/>
      <c r="S5440" s="11"/>
    </row>
    <row r="5441" spans="1:19" s="9" customFormat="1" x14ac:dyDescent="0.25">
      <c r="A5441" s="10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  <c r="Q5441" s="11"/>
      <c r="R5441" s="11"/>
      <c r="S5441" s="11"/>
    </row>
    <row r="5442" spans="1:19" s="9" customFormat="1" x14ac:dyDescent="0.25">
      <c r="A5442" s="10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  <c r="Q5442" s="11"/>
      <c r="R5442" s="11"/>
      <c r="S5442" s="11"/>
    </row>
    <row r="5443" spans="1:19" s="9" customFormat="1" x14ac:dyDescent="0.25">
      <c r="A5443" s="10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  <c r="Q5443" s="11"/>
      <c r="R5443" s="11"/>
      <c r="S5443" s="11"/>
    </row>
    <row r="5444" spans="1:19" s="9" customFormat="1" x14ac:dyDescent="0.25">
      <c r="A5444" s="10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  <c r="Q5444" s="11"/>
      <c r="R5444" s="11"/>
      <c r="S5444" s="11"/>
    </row>
    <row r="5445" spans="1:19" s="9" customFormat="1" x14ac:dyDescent="0.25">
      <c r="A5445" s="10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  <c r="Q5445" s="11"/>
      <c r="R5445" s="11"/>
      <c r="S5445" s="11"/>
    </row>
    <row r="5446" spans="1:19" s="9" customFormat="1" x14ac:dyDescent="0.25">
      <c r="A5446" s="10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  <c r="Q5446" s="11"/>
      <c r="R5446" s="11"/>
      <c r="S5446" s="11"/>
    </row>
    <row r="5447" spans="1:19" s="9" customFormat="1" x14ac:dyDescent="0.25">
      <c r="A5447" s="10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  <c r="Q5447" s="11"/>
      <c r="R5447" s="11"/>
      <c r="S5447" s="11"/>
    </row>
    <row r="5448" spans="1:19" s="9" customFormat="1" x14ac:dyDescent="0.25">
      <c r="A5448" s="10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  <c r="Q5448" s="11"/>
      <c r="R5448" s="11"/>
      <c r="S5448" s="11"/>
    </row>
    <row r="5449" spans="1:19" s="9" customFormat="1" x14ac:dyDescent="0.25">
      <c r="A5449" s="10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  <c r="Q5449" s="11"/>
      <c r="R5449" s="11"/>
      <c r="S5449" s="11"/>
    </row>
    <row r="5450" spans="1:19" s="9" customFormat="1" x14ac:dyDescent="0.25">
      <c r="A5450" s="10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  <c r="Q5450" s="11"/>
      <c r="R5450" s="11"/>
      <c r="S5450" s="11"/>
    </row>
    <row r="5451" spans="1:19" s="9" customFormat="1" x14ac:dyDescent="0.25">
      <c r="A5451" s="10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  <c r="Q5451" s="11"/>
      <c r="R5451" s="11"/>
      <c r="S5451" s="11"/>
    </row>
    <row r="5452" spans="1:19" s="9" customFormat="1" x14ac:dyDescent="0.25">
      <c r="A5452" s="10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  <c r="Q5452" s="11"/>
      <c r="R5452" s="11"/>
      <c r="S5452" s="11"/>
    </row>
    <row r="5453" spans="1:19" s="9" customFormat="1" x14ac:dyDescent="0.25">
      <c r="A5453" s="10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  <c r="Q5453" s="11"/>
      <c r="R5453" s="11"/>
      <c r="S5453" s="11"/>
    </row>
    <row r="5454" spans="1:19" s="9" customFormat="1" x14ac:dyDescent="0.25">
      <c r="A5454" s="10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  <c r="Q5454" s="11"/>
      <c r="R5454" s="11"/>
      <c r="S5454" s="11"/>
    </row>
    <row r="5455" spans="1:19" s="9" customFormat="1" x14ac:dyDescent="0.25">
      <c r="A5455" s="10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  <c r="Q5455" s="11"/>
      <c r="R5455" s="11"/>
      <c r="S5455" s="11"/>
    </row>
    <row r="5456" spans="1:19" s="9" customFormat="1" x14ac:dyDescent="0.25">
      <c r="A5456" s="10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  <c r="Q5456" s="11"/>
      <c r="R5456" s="11"/>
      <c r="S5456" s="11"/>
    </row>
    <row r="5457" spans="1:19" s="9" customFormat="1" x14ac:dyDescent="0.25">
      <c r="A5457" s="10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  <c r="Q5457" s="11"/>
      <c r="R5457" s="11"/>
      <c r="S5457" s="11"/>
    </row>
    <row r="5458" spans="1:19" s="9" customFormat="1" x14ac:dyDescent="0.25">
      <c r="A5458" s="10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  <c r="Q5458" s="11"/>
      <c r="R5458" s="11"/>
      <c r="S5458" s="11"/>
    </row>
    <row r="5459" spans="1:19" s="9" customFormat="1" x14ac:dyDescent="0.25">
      <c r="A5459" s="10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  <c r="Q5459" s="11"/>
      <c r="R5459" s="11"/>
      <c r="S5459" s="11"/>
    </row>
    <row r="5460" spans="1:19" s="9" customFormat="1" x14ac:dyDescent="0.25">
      <c r="A5460" s="10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  <c r="Q5460" s="11"/>
      <c r="R5460" s="11"/>
      <c r="S5460" s="11"/>
    </row>
    <row r="5461" spans="1:19" s="9" customFormat="1" x14ac:dyDescent="0.25">
      <c r="A5461" s="10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  <c r="Q5461" s="11"/>
      <c r="R5461" s="11"/>
      <c r="S5461" s="11"/>
    </row>
    <row r="5462" spans="1:19" s="9" customFormat="1" x14ac:dyDescent="0.25">
      <c r="A5462" s="10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  <c r="Q5462" s="11"/>
      <c r="R5462" s="11"/>
      <c r="S5462" s="11"/>
    </row>
    <row r="5463" spans="1:19" s="9" customFormat="1" x14ac:dyDescent="0.25">
      <c r="A5463" s="10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  <c r="Q5463" s="11"/>
      <c r="R5463" s="11"/>
      <c r="S5463" s="11"/>
    </row>
    <row r="5464" spans="1:19" s="9" customFormat="1" x14ac:dyDescent="0.25">
      <c r="A5464" s="10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  <c r="Q5464" s="11"/>
      <c r="R5464" s="11"/>
      <c r="S5464" s="11"/>
    </row>
    <row r="5465" spans="1:19" s="9" customFormat="1" x14ac:dyDescent="0.25">
      <c r="A5465" s="10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  <c r="Q5465" s="11"/>
      <c r="R5465" s="11"/>
      <c r="S5465" s="11"/>
    </row>
    <row r="5466" spans="1:19" s="9" customFormat="1" x14ac:dyDescent="0.25">
      <c r="A5466" s="10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  <c r="Q5466" s="11"/>
      <c r="R5466" s="11"/>
      <c r="S5466" s="11"/>
    </row>
    <row r="5467" spans="1:19" s="9" customFormat="1" x14ac:dyDescent="0.25">
      <c r="A5467" s="10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  <c r="Q5467" s="11"/>
      <c r="R5467" s="11"/>
      <c r="S5467" s="11"/>
    </row>
    <row r="5468" spans="1:19" s="9" customFormat="1" x14ac:dyDescent="0.25">
      <c r="A5468" s="10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  <c r="Q5468" s="11"/>
      <c r="R5468" s="11"/>
      <c r="S5468" s="11"/>
    </row>
    <row r="5469" spans="1:19" s="9" customFormat="1" x14ac:dyDescent="0.25">
      <c r="A5469" s="10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  <c r="Q5469" s="11"/>
      <c r="R5469" s="11"/>
      <c r="S5469" s="11"/>
    </row>
    <row r="5470" spans="1:19" s="9" customFormat="1" x14ac:dyDescent="0.25">
      <c r="A5470" s="10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  <c r="Q5470" s="11"/>
      <c r="R5470" s="11"/>
      <c r="S5470" s="11"/>
    </row>
    <row r="5471" spans="1:19" s="9" customFormat="1" x14ac:dyDescent="0.25">
      <c r="A5471" s="10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  <c r="Q5471" s="11"/>
      <c r="R5471" s="11"/>
      <c r="S5471" s="11"/>
    </row>
    <row r="5472" spans="1:19" s="9" customFormat="1" x14ac:dyDescent="0.25">
      <c r="A5472" s="10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  <c r="Q5472" s="11"/>
      <c r="R5472" s="11"/>
      <c r="S5472" s="11"/>
    </row>
    <row r="5473" spans="1:19" s="9" customFormat="1" x14ac:dyDescent="0.25">
      <c r="A5473" s="10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  <c r="Q5473" s="11"/>
      <c r="R5473" s="11"/>
      <c r="S5473" s="11"/>
    </row>
    <row r="5474" spans="1:19" s="9" customFormat="1" x14ac:dyDescent="0.25">
      <c r="A5474" s="10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  <c r="Q5474" s="11"/>
      <c r="R5474" s="11"/>
      <c r="S5474" s="11"/>
    </row>
    <row r="5475" spans="1:19" s="9" customFormat="1" x14ac:dyDescent="0.25">
      <c r="A5475" s="10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  <c r="Q5475" s="11"/>
      <c r="R5475" s="11"/>
      <c r="S5475" s="11"/>
    </row>
    <row r="5476" spans="1:19" s="9" customFormat="1" x14ac:dyDescent="0.25">
      <c r="A5476" s="10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  <c r="Q5476" s="11"/>
      <c r="R5476" s="11"/>
      <c r="S5476" s="11"/>
    </row>
    <row r="5477" spans="1:19" s="9" customFormat="1" x14ac:dyDescent="0.25">
      <c r="A5477" s="10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  <c r="Q5477" s="11"/>
      <c r="R5477" s="11"/>
      <c r="S5477" s="11"/>
    </row>
    <row r="5478" spans="1:19" s="9" customFormat="1" x14ac:dyDescent="0.25">
      <c r="A5478" s="10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  <c r="Q5478" s="11"/>
      <c r="R5478" s="11"/>
      <c r="S5478" s="11"/>
    </row>
    <row r="5479" spans="1:19" s="9" customFormat="1" x14ac:dyDescent="0.25">
      <c r="A5479" s="10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  <c r="Q5479" s="11"/>
      <c r="R5479" s="11"/>
      <c r="S5479" s="11"/>
    </row>
    <row r="5480" spans="1:19" s="9" customFormat="1" x14ac:dyDescent="0.25">
      <c r="A5480" s="10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  <c r="Q5480" s="11"/>
      <c r="R5480" s="11"/>
      <c r="S5480" s="11"/>
    </row>
    <row r="5481" spans="1:19" s="9" customFormat="1" x14ac:dyDescent="0.25">
      <c r="A5481" s="10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  <c r="Q5481" s="11"/>
      <c r="R5481" s="11"/>
      <c r="S5481" s="11"/>
    </row>
    <row r="5482" spans="1:19" s="9" customFormat="1" x14ac:dyDescent="0.25">
      <c r="A5482" s="10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  <c r="Q5482" s="11"/>
      <c r="R5482" s="11"/>
      <c r="S5482" s="11"/>
    </row>
    <row r="5483" spans="1:19" s="9" customFormat="1" x14ac:dyDescent="0.25">
      <c r="A5483" s="10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  <c r="Q5483" s="11"/>
      <c r="R5483" s="11"/>
      <c r="S5483" s="11"/>
    </row>
    <row r="5484" spans="1:19" s="9" customFormat="1" x14ac:dyDescent="0.25">
      <c r="A5484" s="10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  <c r="Q5484" s="11"/>
      <c r="R5484" s="11"/>
      <c r="S5484" s="11"/>
    </row>
    <row r="5485" spans="1:19" s="9" customFormat="1" x14ac:dyDescent="0.25">
      <c r="A5485" s="10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  <c r="Q5485" s="11"/>
      <c r="R5485" s="11"/>
      <c r="S5485" s="11"/>
    </row>
    <row r="5486" spans="1:19" s="9" customFormat="1" x14ac:dyDescent="0.25">
      <c r="A5486" s="10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  <c r="Q5486" s="11"/>
      <c r="R5486" s="11"/>
      <c r="S5486" s="11"/>
    </row>
    <row r="5487" spans="1:19" s="9" customFormat="1" x14ac:dyDescent="0.25">
      <c r="A5487" s="10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  <c r="Q5487" s="11"/>
      <c r="R5487" s="11"/>
      <c r="S5487" s="11"/>
    </row>
    <row r="5488" spans="1:19" s="9" customFormat="1" x14ac:dyDescent="0.25">
      <c r="A5488" s="10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  <c r="Q5488" s="11"/>
      <c r="R5488" s="11"/>
      <c r="S5488" s="11"/>
    </row>
    <row r="5489" spans="1:19" s="9" customFormat="1" x14ac:dyDescent="0.25">
      <c r="A5489" s="10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  <c r="Q5489" s="11"/>
      <c r="R5489" s="11"/>
      <c r="S5489" s="11"/>
    </row>
    <row r="5490" spans="1:19" s="9" customFormat="1" x14ac:dyDescent="0.25">
      <c r="A5490" s="10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  <c r="Q5490" s="11"/>
      <c r="R5490" s="11"/>
      <c r="S5490" s="11"/>
    </row>
    <row r="5491" spans="1:19" s="9" customFormat="1" x14ac:dyDescent="0.25">
      <c r="A5491" s="10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  <c r="Q5491" s="11"/>
      <c r="R5491" s="11"/>
      <c r="S5491" s="11"/>
    </row>
    <row r="5492" spans="1:19" s="9" customFormat="1" x14ac:dyDescent="0.25">
      <c r="A5492" s="10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  <c r="Q5492" s="11"/>
      <c r="R5492" s="11"/>
      <c r="S5492" s="11"/>
    </row>
    <row r="5493" spans="1:19" s="9" customFormat="1" x14ac:dyDescent="0.25">
      <c r="A5493" s="10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  <c r="Q5493" s="11"/>
      <c r="R5493" s="11"/>
      <c r="S5493" s="11"/>
    </row>
    <row r="5494" spans="1:19" s="9" customFormat="1" x14ac:dyDescent="0.25">
      <c r="A5494" s="10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  <c r="Q5494" s="11"/>
      <c r="R5494" s="11"/>
      <c r="S5494" s="11"/>
    </row>
    <row r="5495" spans="1:19" s="9" customFormat="1" x14ac:dyDescent="0.25">
      <c r="A5495" s="10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  <c r="Q5495" s="11"/>
      <c r="R5495" s="11"/>
      <c r="S5495" s="11"/>
    </row>
    <row r="5496" spans="1:19" s="9" customFormat="1" x14ac:dyDescent="0.25">
      <c r="A5496" s="10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  <c r="Q5496" s="11"/>
      <c r="R5496" s="11"/>
      <c r="S5496" s="11"/>
    </row>
    <row r="5497" spans="1:19" s="9" customFormat="1" x14ac:dyDescent="0.25">
      <c r="A5497" s="10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  <c r="Q5497" s="11"/>
      <c r="R5497" s="11"/>
      <c r="S5497" s="11"/>
    </row>
    <row r="5498" spans="1:19" s="9" customFormat="1" x14ac:dyDescent="0.25">
      <c r="A5498" s="10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  <c r="Q5498" s="11"/>
      <c r="R5498" s="11"/>
      <c r="S5498" s="11"/>
    </row>
    <row r="5499" spans="1:19" s="9" customFormat="1" x14ac:dyDescent="0.25">
      <c r="A5499" s="10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  <c r="Q5499" s="11"/>
      <c r="R5499" s="11"/>
      <c r="S5499" s="11"/>
    </row>
    <row r="5500" spans="1:19" s="9" customFormat="1" x14ac:dyDescent="0.25">
      <c r="A5500" s="10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  <c r="Q5500" s="11"/>
      <c r="R5500" s="11"/>
      <c r="S5500" s="11"/>
    </row>
    <row r="5501" spans="1:19" s="9" customFormat="1" x14ac:dyDescent="0.25">
      <c r="A5501" s="10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  <c r="Q5501" s="11"/>
      <c r="R5501" s="11"/>
      <c r="S5501" s="11"/>
    </row>
    <row r="5502" spans="1:19" s="9" customFormat="1" x14ac:dyDescent="0.25">
      <c r="A5502" s="10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  <c r="Q5502" s="11"/>
      <c r="R5502" s="11"/>
      <c r="S5502" s="11"/>
    </row>
    <row r="5503" spans="1:19" s="9" customFormat="1" x14ac:dyDescent="0.25">
      <c r="A5503" s="10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  <c r="Q5503" s="11"/>
      <c r="R5503" s="11"/>
      <c r="S5503" s="11"/>
    </row>
    <row r="5504" spans="1:19" s="9" customFormat="1" x14ac:dyDescent="0.25">
      <c r="A5504" s="10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  <c r="Q5504" s="11"/>
      <c r="R5504" s="11"/>
      <c r="S5504" s="11"/>
    </row>
    <row r="5505" spans="1:19" s="9" customFormat="1" x14ac:dyDescent="0.25">
      <c r="A5505" s="10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  <c r="Q5505" s="11"/>
      <c r="R5505" s="11"/>
      <c r="S5505" s="11"/>
    </row>
    <row r="5506" spans="1:19" s="9" customFormat="1" x14ac:dyDescent="0.25">
      <c r="A5506" s="10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  <c r="Q5506" s="11"/>
      <c r="R5506" s="11"/>
      <c r="S5506" s="11"/>
    </row>
    <row r="5507" spans="1:19" s="9" customFormat="1" x14ac:dyDescent="0.25">
      <c r="A5507" s="10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  <c r="Q5507" s="11"/>
      <c r="R5507" s="11"/>
      <c r="S5507" s="11"/>
    </row>
    <row r="5508" spans="1:19" s="9" customFormat="1" x14ac:dyDescent="0.25">
      <c r="A5508" s="10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  <c r="Q5508" s="11"/>
      <c r="R5508" s="11"/>
      <c r="S5508" s="11"/>
    </row>
    <row r="5509" spans="1:19" s="9" customFormat="1" x14ac:dyDescent="0.25">
      <c r="A5509" s="10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  <c r="Q5509" s="11"/>
      <c r="R5509" s="11"/>
      <c r="S5509" s="11"/>
    </row>
    <row r="5510" spans="1:19" s="9" customFormat="1" x14ac:dyDescent="0.25">
      <c r="A5510" s="10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  <c r="Q5510" s="11"/>
      <c r="R5510" s="11"/>
      <c r="S5510" s="11"/>
    </row>
    <row r="5511" spans="1:19" s="9" customFormat="1" x14ac:dyDescent="0.25">
      <c r="A5511" s="10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  <c r="Q5511" s="11"/>
      <c r="R5511" s="11"/>
      <c r="S5511" s="11"/>
    </row>
    <row r="5512" spans="1:19" s="9" customFormat="1" x14ac:dyDescent="0.25">
      <c r="A5512" s="10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  <c r="Q5512" s="11"/>
      <c r="R5512" s="11"/>
      <c r="S5512" s="11"/>
    </row>
    <row r="5513" spans="1:19" s="9" customFormat="1" x14ac:dyDescent="0.25">
      <c r="A5513" s="10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  <c r="Q5513" s="11"/>
      <c r="R5513" s="11"/>
      <c r="S5513" s="11"/>
    </row>
    <row r="5514" spans="1:19" s="9" customFormat="1" x14ac:dyDescent="0.25">
      <c r="A5514" s="10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  <c r="Q5514" s="11"/>
      <c r="R5514" s="11"/>
      <c r="S5514" s="11"/>
    </row>
    <row r="5515" spans="1:19" s="9" customFormat="1" x14ac:dyDescent="0.25">
      <c r="A5515" s="10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  <c r="Q5515" s="11"/>
      <c r="R5515" s="11"/>
      <c r="S5515" s="11"/>
    </row>
    <row r="5516" spans="1:19" s="9" customFormat="1" x14ac:dyDescent="0.25">
      <c r="A5516" s="10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  <c r="Q5516" s="11"/>
      <c r="R5516" s="11"/>
      <c r="S5516" s="11"/>
    </row>
    <row r="5517" spans="1:19" s="9" customFormat="1" x14ac:dyDescent="0.25">
      <c r="A5517" s="10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  <c r="Q5517" s="11"/>
      <c r="R5517" s="11"/>
      <c r="S5517" s="11"/>
    </row>
    <row r="5518" spans="1:19" s="9" customFormat="1" x14ac:dyDescent="0.25">
      <c r="A5518" s="10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  <c r="Q5518" s="11"/>
      <c r="R5518" s="11"/>
      <c r="S5518" s="11"/>
    </row>
    <row r="5519" spans="1:19" s="9" customFormat="1" x14ac:dyDescent="0.25">
      <c r="A5519" s="10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  <c r="Q5519" s="11"/>
      <c r="R5519" s="11"/>
      <c r="S5519" s="11"/>
    </row>
    <row r="5520" spans="1:19" s="9" customFormat="1" x14ac:dyDescent="0.25">
      <c r="A5520" s="10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  <c r="Q5520" s="11"/>
      <c r="R5520" s="11"/>
      <c r="S5520" s="11"/>
    </row>
    <row r="5521" spans="1:19" s="9" customFormat="1" x14ac:dyDescent="0.25">
      <c r="A5521" s="10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  <c r="Q5521" s="11"/>
      <c r="R5521" s="11"/>
      <c r="S5521" s="11"/>
    </row>
    <row r="5522" spans="1:19" s="9" customFormat="1" x14ac:dyDescent="0.25">
      <c r="A5522" s="10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  <c r="Q5522" s="11"/>
      <c r="R5522" s="11"/>
      <c r="S5522" s="11"/>
    </row>
    <row r="5523" spans="1:19" s="9" customFormat="1" x14ac:dyDescent="0.25">
      <c r="A5523" s="10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  <c r="Q5523" s="11"/>
      <c r="R5523" s="11"/>
      <c r="S5523" s="11"/>
    </row>
    <row r="5524" spans="1:19" s="9" customFormat="1" x14ac:dyDescent="0.25">
      <c r="A5524" s="10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  <c r="Q5524" s="11"/>
      <c r="R5524" s="11"/>
      <c r="S5524" s="11"/>
    </row>
    <row r="5525" spans="1:19" s="9" customFormat="1" x14ac:dyDescent="0.25">
      <c r="A5525" s="10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  <c r="Q5525" s="11"/>
      <c r="R5525" s="11"/>
      <c r="S5525" s="11"/>
    </row>
    <row r="5526" spans="1:19" s="9" customFormat="1" x14ac:dyDescent="0.25">
      <c r="A5526" s="10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  <c r="Q5526" s="11"/>
      <c r="R5526" s="11"/>
      <c r="S5526" s="11"/>
    </row>
    <row r="5527" spans="1:19" s="9" customFormat="1" x14ac:dyDescent="0.25">
      <c r="A5527" s="10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  <c r="Q5527" s="11"/>
      <c r="R5527" s="11"/>
      <c r="S5527" s="11"/>
    </row>
    <row r="5528" spans="1:19" s="9" customFormat="1" x14ac:dyDescent="0.25">
      <c r="A5528" s="10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  <c r="Q5528" s="11"/>
      <c r="R5528" s="11"/>
      <c r="S5528" s="11"/>
    </row>
    <row r="5529" spans="1:19" s="9" customFormat="1" x14ac:dyDescent="0.25">
      <c r="A5529" s="10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  <c r="Q5529" s="11"/>
      <c r="R5529" s="11"/>
      <c r="S5529" s="11"/>
    </row>
    <row r="5530" spans="1:19" s="9" customFormat="1" x14ac:dyDescent="0.25">
      <c r="A5530" s="10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  <c r="Q5530" s="11"/>
      <c r="R5530" s="11"/>
      <c r="S5530" s="11"/>
    </row>
    <row r="5531" spans="1:19" s="9" customFormat="1" x14ac:dyDescent="0.25">
      <c r="A5531" s="10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  <c r="Q5531" s="11"/>
      <c r="R5531" s="11"/>
      <c r="S5531" s="11"/>
    </row>
    <row r="5532" spans="1:19" s="9" customFormat="1" x14ac:dyDescent="0.25">
      <c r="A5532" s="10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  <c r="Q5532" s="11"/>
      <c r="R5532" s="11"/>
      <c r="S5532" s="11"/>
    </row>
    <row r="5533" spans="1:19" s="9" customFormat="1" x14ac:dyDescent="0.25">
      <c r="A5533" s="10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  <c r="Q5533" s="11"/>
      <c r="R5533" s="11"/>
      <c r="S5533" s="11"/>
    </row>
    <row r="5534" spans="1:19" s="9" customFormat="1" x14ac:dyDescent="0.25">
      <c r="A5534" s="10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  <c r="Q5534" s="11"/>
      <c r="R5534" s="11"/>
      <c r="S5534" s="11"/>
    </row>
    <row r="5535" spans="1:19" s="9" customFormat="1" x14ac:dyDescent="0.25">
      <c r="A5535" s="10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  <c r="Q5535" s="11"/>
      <c r="R5535" s="11"/>
      <c r="S5535" s="11"/>
    </row>
    <row r="5536" spans="1:19" s="9" customFormat="1" x14ac:dyDescent="0.25">
      <c r="A5536" s="10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  <c r="Q5536" s="11"/>
      <c r="R5536" s="11"/>
      <c r="S5536" s="11"/>
    </row>
    <row r="5537" spans="1:19" s="9" customFormat="1" x14ac:dyDescent="0.25">
      <c r="A5537" s="10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  <c r="Q5537" s="11"/>
      <c r="R5537" s="11"/>
      <c r="S5537" s="11"/>
    </row>
    <row r="5538" spans="1:19" s="9" customFormat="1" x14ac:dyDescent="0.25">
      <c r="A5538" s="10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  <c r="Q5538" s="11"/>
      <c r="R5538" s="11"/>
      <c r="S5538" s="11"/>
    </row>
    <row r="5539" spans="1:19" s="9" customFormat="1" x14ac:dyDescent="0.25">
      <c r="A5539" s="10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  <c r="Q5539" s="11"/>
      <c r="R5539" s="11"/>
      <c r="S5539" s="11"/>
    </row>
    <row r="5540" spans="1:19" s="9" customFormat="1" x14ac:dyDescent="0.25">
      <c r="A5540" s="10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  <c r="Q5540" s="11"/>
      <c r="R5540" s="11"/>
      <c r="S5540" s="11"/>
    </row>
    <row r="5541" spans="1:19" s="9" customFormat="1" x14ac:dyDescent="0.25">
      <c r="A5541" s="10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  <c r="Q5541" s="11"/>
      <c r="R5541" s="11"/>
      <c r="S5541" s="11"/>
    </row>
    <row r="5542" spans="1:19" s="9" customFormat="1" x14ac:dyDescent="0.25">
      <c r="A5542" s="10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  <c r="Q5542" s="11"/>
      <c r="R5542" s="11"/>
      <c r="S5542" s="11"/>
    </row>
    <row r="5543" spans="1:19" s="9" customFormat="1" x14ac:dyDescent="0.25">
      <c r="A5543" s="10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  <c r="Q5543" s="11"/>
      <c r="R5543" s="11"/>
      <c r="S5543" s="11"/>
    </row>
    <row r="5544" spans="1:19" s="9" customFormat="1" x14ac:dyDescent="0.25">
      <c r="A5544" s="10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  <c r="Q5544" s="11"/>
      <c r="R5544" s="11"/>
      <c r="S5544" s="11"/>
    </row>
    <row r="5545" spans="1:19" s="9" customFormat="1" x14ac:dyDescent="0.25">
      <c r="A5545" s="10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  <c r="Q5545" s="11"/>
      <c r="R5545" s="11"/>
      <c r="S5545" s="11"/>
    </row>
    <row r="5546" spans="1:19" s="9" customFormat="1" x14ac:dyDescent="0.25">
      <c r="A5546" s="10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  <c r="Q5546" s="11"/>
      <c r="R5546" s="11"/>
      <c r="S5546" s="11"/>
    </row>
    <row r="5547" spans="1:19" s="9" customFormat="1" x14ac:dyDescent="0.25">
      <c r="A5547" s="10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  <c r="Q5547" s="11"/>
      <c r="R5547" s="11"/>
      <c r="S5547" s="11"/>
    </row>
    <row r="5548" spans="1:19" s="9" customFormat="1" x14ac:dyDescent="0.25">
      <c r="A5548" s="10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  <c r="Q5548" s="11"/>
      <c r="R5548" s="11"/>
      <c r="S5548" s="11"/>
    </row>
    <row r="5549" spans="1:19" s="9" customFormat="1" x14ac:dyDescent="0.25">
      <c r="A5549" s="10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  <c r="Q5549" s="11"/>
      <c r="R5549" s="11"/>
      <c r="S5549" s="11"/>
    </row>
    <row r="5550" spans="1:19" s="9" customFormat="1" x14ac:dyDescent="0.25">
      <c r="A5550" s="10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  <c r="Q5550" s="11"/>
      <c r="R5550" s="11"/>
      <c r="S5550" s="11"/>
    </row>
    <row r="5551" spans="1:19" s="9" customFormat="1" x14ac:dyDescent="0.25">
      <c r="A5551" s="10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  <c r="Q5551" s="11"/>
      <c r="R5551" s="11"/>
      <c r="S5551" s="11"/>
    </row>
    <row r="5552" spans="1:19" s="9" customFormat="1" x14ac:dyDescent="0.25">
      <c r="A5552" s="10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  <c r="Q5552" s="11"/>
      <c r="R5552" s="11"/>
      <c r="S5552" s="11"/>
    </row>
    <row r="5553" spans="1:19" s="9" customFormat="1" x14ac:dyDescent="0.25">
      <c r="A5553" s="10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  <c r="Q5553" s="11"/>
      <c r="R5553" s="11"/>
      <c r="S5553" s="11"/>
    </row>
    <row r="5554" spans="1:19" s="9" customFormat="1" x14ac:dyDescent="0.25">
      <c r="A5554" s="10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  <c r="Q5554" s="11"/>
      <c r="R5554" s="11"/>
      <c r="S5554" s="11"/>
    </row>
    <row r="5555" spans="1:19" s="9" customFormat="1" x14ac:dyDescent="0.25">
      <c r="A5555" s="10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  <c r="Q5555" s="11"/>
      <c r="R5555" s="11"/>
      <c r="S5555" s="11"/>
    </row>
    <row r="5556" spans="1:19" s="9" customFormat="1" x14ac:dyDescent="0.25">
      <c r="A5556" s="10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  <c r="Q5556" s="11"/>
      <c r="R5556" s="11"/>
      <c r="S5556" s="11"/>
    </row>
    <row r="5557" spans="1:19" s="9" customFormat="1" x14ac:dyDescent="0.25">
      <c r="A5557" s="10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  <c r="Q5557" s="11"/>
      <c r="R5557" s="11"/>
      <c r="S5557" s="11"/>
    </row>
    <row r="5558" spans="1:19" s="9" customFormat="1" x14ac:dyDescent="0.25">
      <c r="A5558" s="10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  <c r="Q5558" s="11"/>
      <c r="R5558" s="11"/>
      <c r="S5558" s="11"/>
    </row>
    <row r="5559" spans="1:19" s="9" customFormat="1" x14ac:dyDescent="0.25">
      <c r="A5559" s="10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  <c r="Q5559" s="11"/>
      <c r="R5559" s="11"/>
      <c r="S5559" s="11"/>
    </row>
    <row r="5560" spans="1:19" s="9" customFormat="1" x14ac:dyDescent="0.25">
      <c r="A5560" s="10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  <c r="Q5560" s="11"/>
      <c r="R5560" s="11"/>
      <c r="S5560" s="11"/>
    </row>
    <row r="5561" spans="1:19" s="9" customFormat="1" x14ac:dyDescent="0.25">
      <c r="A5561" s="10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  <c r="Q5561" s="11"/>
      <c r="R5561" s="11"/>
      <c r="S5561" s="11"/>
    </row>
    <row r="5562" spans="1:19" s="9" customFormat="1" x14ac:dyDescent="0.25">
      <c r="A5562" s="10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  <c r="Q5562" s="11"/>
      <c r="R5562" s="11"/>
      <c r="S5562" s="11"/>
    </row>
    <row r="5563" spans="1:19" s="9" customFormat="1" x14ac:dyDescent="0.25">
      <c r="A5563" s="10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  <c r="Q5563" s="11"/>
      <c r="R5563" s="11"/>
      <c r="S5563" s="11"/>
    </row>
    <row r="5564" spans="1:19" s="9" customFormat="1" x14ac:dyDescent="0.25">
      <c r="A5564" s="10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  <c r="Q5564" s="11"/>
      <c r="R5564" s="11"/>
      <c r="S5564" s="11"/>
    </row>
    <row r="5565" spans="1:19" s="9" customFormat="1" x14ac:dyDescent="0.25">
      <c r="A5565" s="10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  <c r="Q5565" s="11"/>
      <c r="R5565" s="11"/>
      <c r="S5565" s="11"/>
    </row>
    <row r="5566" spans="1:19" s="9" customFormat="1" x14ac:dyDescent="0.25">
      <c r="A5566" s="10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  <c r="Q5566" s="11"/>
      <c r="R5566" s="11"/>
      <c r="S5566" s="11"/>
    </row>
    <row r="5567" spans="1:19" s="9" customFormat="1" x14ac:dyDescent="0.25">
      <c r="A5567" s="10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  <c r="Q5567" s="11"/>
      <c r="R5567" s="11"/>
      <c r="S5567" s="11"/>
    </row>
    <row r="5568" spans="1:19" s="9" customFormat="1" x14ac:dyDescent="0.25">
      <c r="A5568" s="10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  <c r="Q5568" s="11"/>
      <c r="R5568" s="11"/>
      <c r="S5568" s="11"/>
    </row>
    <row r="5569" spans="1:19" s="9" customFormat="1" x14ac:dyDescent="0.25">
      <c r="A5569" s="10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  <c r="Q5569" s="11"/>
      <c r="R5569" s="11"/>
      <c r="S5569" s="11"/>
    </row>
    <row r="5570" spans="1:19" s="9" customFormat="1" x14ac:dyDescent="0.25">
      <c r="A5570" s="10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  <c r="Q5570" s="11"/>
      <c r="R5570" s="11"/>
      <c r="S5570" s="11"/>
    </row>
    <row r="5571" spans="1:19" s="9" customFormat="1" x14ac:dyDescent="0.25">
      <c r="A5571" s="10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  <c r="Q5571" s="11"/>
      <c r="R5571" s="11"/>
      <c r="S5571" s="11"/>
    </row>
    <row r="5572" spans="1:19" s="9" customFormat="1" x14ac:dyDescent="0.25">
      <c r="A5572" s="10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  <c r="Q5572" s="11"/>
      <c r="R5572" s="11"/>
      <c r="S5572" s="11"/>
    </row>
    <row r="5573" spans="1:19" s="9" customFormat="1" x14ac:dyDescent="0.25">
      <c r="A5573" s="10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  <c r="Q5573" s="11"/>
      <c r="R5573" s="11"/>
      <c r="S5573" s="11"/>
    </row>
    <row r="5574" spans="1:19" s="9" customFormat="1" x14ac:dyDescent="0.25">
      <c r="A5574" s="10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  <c r="Q5574" s="11"/>
      <c r="R5574" s="11"/>
      <c r="S5574" s="11"/>
    </row>
    <row r="5575" spans="1:19" s="9" customFormat="1" x14ac:dyDescent="0.25">
      <c r="A5575" s="10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  <c r="Q5575" s="11"/>
      <c r="R5575" s="11"/>
      <c r="S5575" s="11"/>
    </row>
    <row r="5576" spans="1:19" s="9" customFormat="1" x14ac:dyDescent="0.25">
      <c r="A5576" s="10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  <c r="Q5576" s="11"/>
      <c r="R5576" s="11"/>
      <c r="S5576" s="11"/>
    </row>
    <row r="5577" spans="1:19" s="9" customFormat="1" x14ac:dyDescent="0.25">
      <c r="A5577" s="10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  <c r="Q5577" s="11"/>
      <c r="R5577" s="11"/>
      <c r="S5577" s="11"/>
    </row>
    <row r="5578" spans="1:19" s="9" customFormat="1" x14ac:dyDescent="0.25">
      <c r="A5578" s="10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  <c r="Q5578" s="11"/>
      <c r="R5578" s="11"/>
      <c r="S5578" s="11"/>
    </row>
    <row r="5579" spans="1:19" s="9" customFormat="1" x14ac:dyDescent="0.25">
      <c r="A5579" s="10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  <c r="Q5579" s="11"/>
      <c r="R5579" s="11"/>
      <c r="S5579" s="11"/>
    </row>
    <row r="5580" spans="1:19" s="9" customFormat="1" x14ac:dyDescent="0.25">
      <c r="A5580" s="10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  <c r="Q5580" s="11"/>
      <c r="R5580" s="11"/>
      <c r="S5580" s="11"/>
    </row>
    <row r="5581" spans="1:19" s="9" customFormat="1" x14ac:dyDescent="0.25">
      <c r="A5581" s="10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  <c r="Q5581" s="11"/>
      <c r="R5581" s="11"/>
      <c r="S5581" s="11"/>
    </row>
    <row r="5582" spans="1:19" s="9" customFormat="1" x14ac:dyDescent="0.25">
      <c r="A5582" s="10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  <c r="Q5582" s="11"/>
      <c r="R5582" s="11"/>
      <c r="S5582" s="11"/>
    </row>
    <row r="5583" spans="1:19" s="9" customFormat="1" x14ac:dyDescent="0.25">
      <c r="A5583" s="10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  <c r="Q5583" s="11"/>
      <c r="R5583" s="11"/>
      <c r="S5583" s="11"/>
    </row>
    <row r="5584" spans="1:19" s="9" customFormat="1" x14ac:dyDescent="0.25">
      <c r="A5584" s="10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  <c r="Q5584" s="11"/>
      <c r="R5584" s="11"/>
      <c r="S5584" s="11"/>
    </row>
    <row r="5585" spans="1:19" s="9" customFormat="1" x14ac:dyDescent="0.25">
      <c r="A5585" s="10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  <c r="Q5585" s="11"/>
      <c r="R5585" s="11"/>
      <c r="S5585" s="11"/>
    </row>
    <row r="5586" spans="1:19" s="9" customFormat="1" x14ac:dyDescent="0.25">
      <c r="A5586" s="10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  <c r="Q5586" s="11"/>
      <c r="R5586" s="11"/>
      <c r="S5586" s="11"/>
    </row>
    <row r="5587" spans="1:19" s="9" customFormat="1" x14ac:dyDescent="0.25">
      <c r="A5587" s="10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  <c r="Q5587" s="11"/>
      <c r="R5587" s="11"/>
      <c r="S5587" s="11"/>
    </row>
    <row r="5588" spans="1:19" s="9" customFormat="1" x14ac:dyDescent="0.25">
      <c r="A5588" s="10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  <c r="Q5588" s="11"/>
      <c r="R5588" s="11"/>
      <c r="S5588" s="11"/>
    </row>
    <row r="5589" spans="1:19" s="9" customFormat="1" x14ac:dyDescent="0.25">
      <c r="A5589" s="10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  <c r="Q5589" s="11"/>
      <c r="R5589" s="11"/>
      <c r="S5589" s="11"/>
    </row>
    <row r="5590" spans="1:19" s="9" customFormat="1" x14ac:dyDescent="0.25">
      <c r="A5590" s="10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  <c r="Q5590" s="11"/>
      <c r="R5590" s="11"/>
      <c r="S5590" s="11"/>
    </row>
    <row r="5591" spans="1:19" s="9" customFormat="1" x14ac:dyDescent="0.25">
      <c r="A5591" s="10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  <c r="Q5591" s="11"/>
      <c r="R5591" s="11"/>
      <c r="S5591" s="11"/>
    </row>
    <row r="5592" spans="1:19" s="9" customFormat="1" x14ac:dyDescent="0.25">
      <c r="A5592" s="10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  <c r="Q5592" s="11"/>
      <c r="R5592" s="11"/>
      <c r="S5592" s="11"/>
    </row>
    <row r="5593" spans="1:19" s="9" customFormat="1" x14ac:dyDescent="0.25">
      <c r="A5593" s="10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  <c r="Q5593" s="11"/>
      <c r="R5593" s="11"/>
      <c r="S5593" s="11"/>
    </row>
    <row r="5594" spans="1:19" s="9" customFormat="1" x14ac:dyDescent="0.25">
      <c r="A5594" s="10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  <c r="Q5594" s="11"/>
      <c r="R5594" s="11"/>
      <c r="S5594" s="11"/>
    </row>
    <row r="5595" spans="1:19" s="9" customFormat="1" x14ac:dyDescent="0.25">
      <c r="A5595" s="10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  <c r="Q5595" s="11"/>
      <c r="R5595" s="11"/>
      <c r="S5595" s="11"/>
    </row>
    <row r="5596" spans="1:19" s="9" customFormat="1" x14ac:dyDescent="0.25">
      <c r="A5596" s="10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  <c r="Q5596" s="11"/>
      <c r="R5596" s="11"/>
      <c r="S5596" s="11"/>
    </row>
    <row r="5597" spans="1:19" s="9" customFormat="1" x14ac:dyDescent="0.25">
      <c r="A5597" s="10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  <c r="Q5597" s="11"/>
      <c r="R5597" s="11"/>
      <c r="S5597" s="11"/>
    </row>
    <row r="5598" spans="1:19" s="9" customFormat="1" x14ac:dyDescent="0.25">
      <c r="A5598" s="10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  <c r="Q5598" s="11"/>
      <c r="R5598" s="11"/>
      <c r="S5598" s="11"/>
    </row>
    <row r="5599" spans="1:19" s="9" customFormat="1" x14ac:dyDescent="0.25">
      <c r="A5599" s="10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  <c r="Q5599" s="11"/>
      <c r="R5599" s="11"/>
      <c r="S5599" s="11"/>
    </row>
    <row r="5600" spans="1:19" s="9" customFormat="1" x14ac:dyDescent="0.25">
      <c r="A5600" s="10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  <c r="Q5600" s="11"/>
      <c r="R5600" s="11"/>
      <c r="S5600" s="11"/>
    </row>
    <row r="5601" spans="1:19" s="9" customFormat="1" x14ac:dyDescent="0.25">
      <c r="A5601" s="10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  <c r="Q5601" s="11"/>
      <c r="R5601" s="11"/>
      <c r="S5601" s="11"/>
    </row>
    <row r="5602" spans="1:19" s="9" customFormat="1" x14ac:dyDescent="0.25">
      <c r="A5602" s="10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  <c r="Q5602" s="11"/>
      <c r="R5602" s="11"/>
      <c r="S5602" s="11"/>
    </row>
    <row r="5603" spans="1:19" s="9" customFormat="1" x14ac:dyDescent="0.25">
      <c r="A5603" s="10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  <c r="Q5603" s="11"/>
      <c r="R5603" s="11"/>
      <c r="S5603" s="11"/>
    </row>
    <row r="5604" spans="1:19" s="9" customFormat="1" x14ac:dyDescent="0.25">
      <c r="A5604" s="10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  <c r="Q5604" s="11"/>
      <c r="R5604" s="11"/>
      <c r="S5604" s="11"/>
    </row>
    <row r="5605" spans="1:19" s="9" customFormat="1" x14ac:dyDescent="0.25">
      <c r="A5605" s="10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  <c r="Q5605" s="11"/>
      <c r="R5605" s="11"/>
      <c r="S5605" s="11"/>
    </row>
    <row r="5606" spans="1:19" s="9" customFormat="1" x14ac:dyDescent="0.25">
      <c r="A5606" s="10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  <c r="Q5606" s="11"/>
      <c r="R5606" s="11"/>
      <c r="S5606" s="11"/>
    </row>
    <row r="5607" spans="1:19" s="9" customFormat="1" x14ac:dyDescent="0.25">
      <c r="A5607" s="10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  <c r="Q5607" s="11"/>
      <c r="R5607" s="11"/>
      <c r="S5607" s="11"/>
    </row>
    <row r="5608" spans="1:19" s="9" customFormat="1" x14ac:dyDescent="0.25">
      <c r="A5608" s="10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  <c r="Q5608" s="11"/>
      <c r="R5608" s="11"/>
      <c r="S5608" s="11"/>
    </row>
    <row r="5609" spans="1:19" s="9" customFormat="1" x14ac:dyDescent="0.25">
      <c r="A5609" s="10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  <c r="Q5609" s="11"/>
      <c r="R5609" s="11"/>
      <c r="S5609" s="11"/>
    </row>
    <row r="5610" spans="1:19" s="9" customFormat="1" x14ac:dyDescent="0.25">
      <c r="A5610" s="10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  <c r="Q5610" s="11"/>
      <c r="R5610" s="11"/>
      <c r="S5610" s="11"/>
    </row>
    <row r="5611" spans="1:19" s="9" customFormat="1" x14ac:dyDescent="0.25">
      <c r="A5611" s="10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  <c r="Q5611" s="11"/>
      <c r="R5611" s="11"/>
      <c r="S5611" s="11"/>
    </row>
    <row r="5612" spans="1:19" s="9" customFormat="1" x14ac:dyDescent="0.25">
      <c r="A5612" s="10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  <c r="Q5612" s="11"/>
      <c r="R5612" s="11"/>
      <c r="S5612" s="11"/>
    </row>
    <row r="5613" spans="1:19" s="9" customFormat="1" x14ac:dyDescent="0.25">
      <c r="A5613" s="10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  <c r="Q5613" s="11"/>
      <c r="R5613" s="11"/>
      <c r="S5613" s="11"/>
    </row>
    <row r="5614" spans="1:19" s="9" customFormat="1" x14ac:dyDescent="0.25">
      <c r="A5614" s="10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  <c r="Q5614" s="11"/>
      <c r="R5614" s="11"/>
      <c r="S5614" s="11"/>
    </row>
    <row r="5615" spans="1:19" s="9" customFormat="1" x14ac:dyDescent="0.25">
      <c r="A5615" s="10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  <c r="Q5615" s="11"/>
      <c r="R5615" s="11"/>
      <c r="S5615" s="11"/>
    </row>
    <row r="5616" spans="1:19" s="9" customFormat="1" x14ac:dyDescent="0.25">
      <c r="A5616" s="10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  <c r="Q5616" s="11"/>
      <c r="R5616" s="11"/>
      <c r="S5616" s="11"/>
    </row>
    <row r="5617" spans="1:19" s="9" customFormat="1" x14ac:dyDescent="0.25">
      <c r="A5617" s="10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  <c r="Q5617" s="11"/>
      <c r="R5617" s="11"/>
      <c r="S5617" s="11"/>
    </row>
    <row r="5618" spans="1:19" s="9" customFormat="1" x14ac:dyDescent="0.25">
      <c r="A5618" s="10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  <c r="Q5618" s="11"/>
      <c r="R5618" s="11"/>
      <c r="S5618" s="11"/>
    </row>
    <row r="5619" spans="1:19" s="9" customFormat="1" x14ac:dyDescent="0.25">
      <c r="A5619" s="10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  <c r="Q5619" s="11"/>
      <c r="R5619" s="11"/>
      <c r="S5619" s="11"/>
    </row>
    <row r="5620" spans="1:19" s="9" customFormat="1" x14ac:dyDescent="0.25">
      <c r="A5620" s="10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  <c r="Q5620" s="11"/>
      <c r="R5620" s="11"/>
      <c r="S5620" s="11"/>
    </row>
    <row r="5621" spans="1:19" s="9" customFormat="1" x14ac:dyDescent="0.25">
      <c r="A5621" s="10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  <c r="Q5621" s="11"/>
      <c r="R5621" s="11"/>
      <c r="S5621" s="11"/>
    </row>
    <row r="5622" spans="1:19" s="9" customFormat="1" x14ac:dyDescent="0.25">
      <c r="A5622" s="10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  <c r="Q5622" s="11"/>
      <c r="R5622" s="11"/>
      <c r="S5622" s="11"/>
    </row>
    <row r="5623" spans="1:19" s="9" customFormat="1" x14ac:dyDescent="0.25">
      <c r="A5623" s="10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  <c r="Q5623" s="11"/>
      <c r="R5623" s="11"/>
      <c r="S5623" s="11"/>
    </row>
    <row r="5624" spans="1:19" s="9" customFormat="1" x14ac:dyDescent="0.25">
      <c r="A5624" s="10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  <c r="Q5624" s="11"/>
      <c r="R5624" s="11"/>
      <c r="S5624" s="11"/>
    </row>
    <row r="5625" spans="1:19" s="9" customFormat="1" x14ac:dyDescent="0.25">
      <c r="A5625" s="10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  <c r="Q5625" s="11"/>
      <c r="R5625" s="11"/>
      <c r="S5625" s="11"/>
    </row>
    <row r="5626" spans="1:19" s="9" customFormat="1" x14ac:dyDescent="0.25">
      <c r="A5626" s="10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  <c r="Q5626" s="11"/>
      <c r="R5626" s="11"/>
      <c r="S5626" s="11"/>
    </row>
    <row r="5627" spans="1:19" s="9" customFormat="1" x14ac:dyDescent="0.25">
      <c r="A5627" s="10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  <c r="Q5627" s="11"/>
      <c r="R5627" s="11"/>
      <c r="S5627" s="11"/>
    </row>
    <row r="5628" spans="1:19" s="9" customFormat="1" x14ac:dyDescent="0.25">
      <c r="A5628" s="10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  <c r="Q5628" s="11"/>
      <c r="R5628" s="11"/>
      <c r="S5628" s="11"/>
    </row>
    <row r="5629" spans="1:19" s="9" customFormat="1" x14ac:dyDescent="0.25">
      <c r="A5629" s="10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  <c r="Q5629" s="11"/>
      <c r="R5629" s="11"/>
      <c r="S5629" s="11"/>
    </row>
    <row r="5630" spans="1:19" s="9" customFormat="1" x14ac:dyDescent="0.25">
      <c r="A5630" s="10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  <c r="Q5630" s="11"/>
      <c r="R5630" s="11"/>
      <c r="S5630" s="11"/>
    </row>
    <row r="5631" spans="1:19" s="9" customFormat="1" x14ac:dyDescent="0.25">
      <c r="A5631" s="10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  <c r="Q5631" s="11"/>
      <c r="R5631" s="11"/>
      <c r="S5631" s="11"/>
    </row>
    <row r="5632" spans="1:19" s="9" customFormat="1" x14ac:dyDescent="0.25">
      <c r="A5632" s="10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  <c r="Q5632" s="11"/>
      <c r="R5632" s="11"/>
      <c r="S5632" s="11"/>
    </row>
    <row r="5633" spans="1:19" s="9" customFormat="1" x14ac:dyDescent="0.25">
      <c r="A5633" s="10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  <c r="Q5633" s="11"/>
      <c r="R5633" s="11"/>
      <c r="S5633" s="11"/>
    </row>
    <row r="5634" spans="1:19" s="9" customFormat="1" x14ac:dyDescent="0.25">
      <c r="A5634" s="10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  <c r="Q5634" s="11"/>
      <c r="R5634" s="11"/>
      <c r="S5634" s="11"/>
    </row>
    <row r="5635" spans="1:19" s="9" customFormat="1" x14ac:dyDescent="0.25">
      <c r="A5635" s="10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  <c r="Q5635" s="11"/>
      <c r="R5635" s="11"/>
      <c r="S5635" s="11"/>
    </row>
    <row r="5636" spans="1:19" s="9" customFormat="1" x14ac:dyDescent="0.25">
      <c r="A5636" s="10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  <c r="Q5636" s="11"/>
      <c r="R5636" s="11"/>
      <c r="S5636" s="11"/>
    </row>
    <row r="5637" spans="1:19" s="9" customFormat="1" x14ac:dyDescent="0.25">
      <c r="A5637" s="10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  <c r="Q5637" s="11"/>
      <c r="R5637" s="11"/>
      <c r="S5637" s="11"/>
    </row>
    <row r="5638" spans="1:19" s="9" customFormat="1" x14ac:dyDescent="0.25">
      <c r="A5638" s="10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  <c r="Q5638" s="11"/>
      <c r="R5638" s="11"/>
      <c r="S5638" s="11"/>
    </row>
    <row r="5639" spans="1:19" s="9" customFormat="1" x14ac:dyDescent="0.25">
      <c r="A5639" s="10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  <c r="Q5639" s="11"/>
      <c r="R5639" s="11"/>
      <c r="S5639" s="11"/>
    </row>
    <row r="5640" spans="1:19" s="9" customFormat="1" x14ac:dyDescent="0.25">
      <c r="A5640" s="10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  <c r="Q5640" s="11"/>
      <c r="R5640" s="11"/>
      <c r="S5640" s="11"/>
    </row>
    <row r="5641" spans="1:19" s="9" customFormat="1" x14ac:dyDescent="0.25">
      <c r="A5641" s="10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  <c r="Q5641" s="11"/>
      <c r="R5641" s="11"/>
      <c r="S5641" s="11"/>
    </row>
    <row r="5642" spans="1:19" s="9" customFormat="1" x14ac:dyDescent="0.25">
      <c r="A5642" s="10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  <c r="Q5642" s="11"/>
      <c r="R5642" s="11"/>
      <c r="S5642" s="11"/>
    </row>
    <row r="5643" spans="1:19" s="9" customFormat="1" x14ac:dyDescent="0.25">
      <c r="A5643" s="10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  <c r="Q5643" s="11"/>
      <c r="R5643" s="11"/>
      <c r="S5643" s="11"/>
    </row>
    <row r="5644" spans="1:19" s="9" customFormat="1" x14ac:dyDescent="0.25">
      <c r="A5644" s="10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  <c r="Q5644" s="11"/>
      <c r="R5644" s="11"/>
      <c r="S5644" s="11"/>
    </row>
    <row r="5645" spans="1:19" s="9" customFormat="1" x14ac:dyDescent="0.25">
      <c r="A5645" s="10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  <c r="Q5645" s="11"/>
      <c r="R5645" s="11"/>
      <c r="S5645" s="11"/>
    </row>
    <row r="5646" spans="1:19" s="9" customFormat="1" x14ac:dyDescent="0.25">
      <c r="A5646" s="10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  <c r="Q5646" s="11"/>
      <c r="R5646" s="11"/>
      <c r="S5646" s="11"/>
    </row>
    <row r="5647" spans="1:19" s="9" customFormat="1" x14ac:dyDescent="0.25">
      <c r="A5647" s="10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  <c r="Q5647" s="11"/>
      <c r="R5647" s="11"/>
      <c r="S5647" s="11"/>
    </row>
    <row r="5648" spans="1:19" s="9" customFormat="1" x14ac:dyDescent="0.25">
      <c r="A5648" s="10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  <c r="Q5648" s="11"/>
      <c r="R5648" s="11"/>
      <c r="S5648" s="11"/>
    </row>
    <row r="5649" spans="1:19" s="9" customFormat="1" x14ac:dyDescent="0.25">
      <c r="A5649" s="10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  <c r="Q5649" s="11"/>
      <c r="R5649" s="11"/>
      <c r="S5649" s="11"/>
    </row>
    <row r="5650" spans="1:19" s="9" customFormat="1" x14ac:dyDescent="0.25">
      <c r="A5650" s="10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  <c r="Q5650" s="11"/>
      <c r="R5650" s="11"/>
      <c r="S5650" s="11"/>
    </row>
    <row r="5651" spans="1:19" s="9" customFormat="1" x14ac:dyDescent="0.25">
      <c r="A5651" s="10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  <c r="Q5651" s="11"/>
      <c r="R5651" s="11"/>
      <c r="S5651" s="11"/>
    </row>
    <row r="5652" spans="1:19" s="9" customFormat="1" x14ac:dyDescent="0.25">
      <c r="A5652" s="10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  <c r="Q5652" s="11"/>
      <c r="R5652" s="11"/>
      <c r="S5652" s="11"/>
    </row>
    <row r="5653" spans="1:19" s="9" customFormat="1" x14ac:dyDescent="0.25">
      <c r="A5653" s="10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  <c r="Q5653" s="11"/>
      <c r="R5653" s="11"/>
      <c r="S5653" s="11"/>
    </row>
    <row r="5654" spans="1:19" s="9" customFormat="1" x14ac:dyDescent="0.25">
      <c r="A5654" s="10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  <c r="Q5654" s="11"/>
      <c r="R5654" s="11"/>
      <c r="S5654" s="11"/>
    </row>
    <row r="5655" spans="1:19" s="9" customFormat="1" x14ac:dyDescent="0.25">
      <c r="A5655" s="10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  <c r="Q5655" s="11"/>
      <c r="R5655" s="11"/>
      <c r="S5655" s="11"/>
    </row>
    <row r="5656" spans="1:19" s="9" customFormat="1" x14ac:dyDescent="0.25">
      <c r="A5656" s="10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  <c r="Q5656" s="11"/>
      <c r="R5656" s="11"/>
      <c r="S5656" s="11"/>
    </row>
    <row r="5657" spans="1:19" s="9" customFormat="1" x14ac:dyDescent="0.25">
      <c r="A5657" s="10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  <c r="Q5657" s="11"/>
      <c r="R5657" s="11"/>
      <c r="S5657" s="11"/>
    </row>
    <row r="5658" spans="1:19" s="9" customFormat="1" x14ac:dyDescent="0.25">
      <c r="A5658" s="10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  <c r="Q5658" s="11"/>
      <c r="R5658" s="11"/>
      <c r="S5658" s="11"/>
    </row>
    <row r="5659" spans="1:19" s="9" customFormat="1" x14ac:dyDescent="0.25">
      <c r="A5659" s="10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  <c r="Q5659" s="11"/>
      <c r="R5659" s="11"/>
      <c r="S5659" s="11"/>
    </row>
    <row r="5660" spans="1:19" s="9" customFormat="1" x14ac:dyDescent="0.25">
      <c r="A5660" s="10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  <c r="Q5660" s="11"/>
      <c r="R5660" s="11"/>
      <c r="S5660" s="11"/>
    </row>
    <row r="5661" spans="1:19" s="9" customFormat="1" x14ac:dyDescent="0.25">
      <c r="A5661" s="10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  <c r="Q5661" s="11"/>
      <c r="R5661" s="11"/>
      <c r="S5661" s="11"/>
    </row>
    <row r="5662" spans="1:19" s="9" customFormat="1" x14ac:dyDescent="0.25">
      <c r="A5662" s="10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  <c r="Q5662" s="11"/>
      <c r="R5662" s="11"/>
      <c r="S5662" s="11"/>
    </row>
    <row r="5663" spans="1:19" s="9" customFormat="1" x14ac:dyDescent="0.25">
      <c r="A5663" s="10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  <c r="Q5663" s="11"/>
      <c r="R5663" s="11"/>
      <c r="S5663" s="11"/>
    </row>
    <row r="5664" spans="1:19" s="9" customFormat="1" x14ac:dyDescent="0.25">
      <c r="A5664" s="10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  <c r="Q5664" s="11"/>
      <c r="R5664" s="11"/>
      <c r="S5664" s="11"/>
    </row>
    <row r="5665" spans="1:19" s="9" customFormat="1" x14ac:dyDescent="0.25">
      <c r="A5665" s="10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  <c r="Q5665" s="11"/>
      <c r="R5665" s="11"/>
      <c r="S5665" s="11"/>
    </row>
    <row r="5666" spans="1:19" s="9" customFormat="1" x14ac:dyDescent="0.25">
      <c r="A5666" s="10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  <c r="Q5666" s="11"/>
      <c r="R5666" s="11"/>
      <c r="S5666" s="11"/>
    </row>
    <row r="5667" spans="1:19" s="9" customFormat="1" x14ac:dyDescent="0.25">
      <c r="A5667" s="10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  <c r="Q5667" s="11"/>
      <c r="R5667" s="11"/>
      <c r="S5667" s="11"/>
    </row>
    <row r="5668" spans="1:19" s="9" customFormat="1" x14ac:dyDescent="0.25">
      <c r="A5668" s="10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  <c r="Q5668" s="11"/>
      <c r="R5668" s="11"/>
      <c r="S5668" s="11"/>
    </row>
    <row r="5669" spans="1:19" s="9" customFormat="1" x14ac:dyDescent="0.25">
      <c r="A5669" s="10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  <c r="Q5669" s="11"/>
      <c r="R5669" s="11"/>
      <c r="S5669" s="11"/>
    </row>
    <row r="5670" spans="1:19" s="9" customFormat="1" x14ac:dyDescent="0.25">
      <c r="A5670" s="10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  <c r="Q5670" s="11"/>
      <c r="R5670" s="11"/>
      <c r="S5670" s="11"/>
    </row>
    <row r="5671" spans="1:19" s="9" customFormat="1" x14ac:dyDescent="0.25">
      <c r="A5671" s="10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  <c r="Q5671" s="11"/>
      <c r="R5671" s="11"/>
      <c r="S5671" s="11"/>
    </row>
    <row r="5672" spans="1:19" s="9" customFormat="1" x14ac:dyDescent="0.25">
      <c r="A5672" s="10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  <c r="Q5672" s="11"/>
      <c r="R5672" s="11"/>
      <c r="S5672" s="11"/>
    </row>
    <row r="5673" spans="1:19" s="9" customFormat="1" x14ac:dyDescent="0.25">
      <c r="A5673" s="10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  <c r="Q5673" s="11"/>
      <c r="R5673" s="11"/>
      <c r="S5673" s="11"/>
    </row>
    <row r="5674" spans="1:19" s="9" customFormat="1" x14ac:dyDescent="0.25">
      <c r="A5674" s="10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  <c r="Q5674" s="11"/>
      <c r="R5674" s="11"/>
      <c r="S5674" s="11"/>
    </row>
    <row r="5675" spans="1:19" s="9" customFormat="1" x14ac:dyDescent="0.25">
      <c r="A5675" s="10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  <c r="Q5675" s="11"/>
      <c r="R5675" s="11"/>
      <c r="S5675" s="11"/>
    </row>
    <row r="5676" spans="1:19" s="9" customFormat="1" x14ac:dyDescent="0.25">
      <c r="A5676" s="10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  <c r="Q5676" s="11"/>
      <c r="R5676" s="11"/>
      <c r="S5676" s="11"/>
    </row>
    <row r="5677" spans="1:19" s="9" customFormat="1" x14ac:dyDescent="0.25">
      <c r="A5677" s="10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  <c r="Q5677" s="11"/>
      <c r="R5677" s="11"/>
      <c r="S5677" s="11"/>
    </row>
    <row r="5678" spans="1:19" s="9" customFormat="1" x14ac:dyDescent="0.25">
      <c r="A5678" s="10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  <c r="Q5678" s="11"/>
      <c r="R5678" s="11"/>
      <c r="S5678" s="11"/>
    </row>
    <row r="5679" spans="1:19" s="9" customFormat="1" x14ac:dyDescent="0.25">
      <c r="A5679" s="10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  <c r="Q5679" s="11"/>
      <c r="R5679" s="11"/>
      <c r="S5679" s="11"/>
    </row>
    <row r="5680" spans="1:19" s="9" customFormat="1" x14ac:dyDescent="0.25">
      <c r="A5680" s="10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  <c r="Q5680" s="11"/>
      <c r="R5680" s="11"/>
      <c r="S5680" s="11"/>
    </row>
    <row r="5681" spans="1:19" s="9" customFormat="1" x14ac:dyDescent="0.25">
      <c r="A5681" s="10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  <c r="Q5681" s="11"/>
      <c r="R5681" s="11"/>
      <c r="S5681" s="11"/>
    </row>
    <row r="5682" spans="1:19" s="9" customFormat="1" x14ac:dyDescent="0.25">
      <c r="A5682" s="10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  <c r="Q5682" s="11"/>
      <c r="R5682" s="11"/>
      <c r="S5682" s="11"/>
    </row>
    <row r="5683" spans="1:19" s="9" customFormat="1" x14ac:dyDescent="0.25">
      <c r="A5683" s="10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  <c r="Q5683" s="11"/>
      <c r="R5683" s="11"/>
      <c r="S5683" s="11"/>
    </row>
    <row r="5684" spans="1:19" s="9" customFormat="1" x14ac:dyDescent="0.25">
      <c r="A5684" s="10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  <c r="Q5684" s="11"/>
      <c r="R5684" s="11"/>
      <c r="S5684" s="11"/>
    </row>
    <row r="5685" spans="1:19" s="9" customFormat="1" x14ac:dyDescent="0.25">
      <c r="A5685" s="10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  <c r="Q5685" s="11"/>
      <c r="R5685" s="11"/>
      <c r="S5685" s="11"/>
    </row>
    <row r="5686" spans="1:19" s="9" customFormat="1" x14ac:dyDescent="0.25">
      <c r="A5686" s="10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  <c r="Q5686" s="11"/>
      <c r="R5686" s="11"/>
      <c r="S5686" s="11"/>
    </row>
    <row r="5687" spans="1:19" s="9" customFormat="1" x14ac:dyDescent="0.25">
      <c r="A5687" s="10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  <c r="Q5687" s="11"/>
      <c r="R5687" s="11"/>
      <c r="S5687" s="11"/>
    </row>
    <row r="5688" spans="1:19" s="9" customFormat="1" x14ac:dyDescent="0.25">
      <c r="A5688" s="10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  <c r="Q5688" s="11"/>
      <c r="R5688" s="11"/>
      <c r="S5688" s="11"/>
    </row>
    <row r="5689" spans="1:19" s="9" customFormat="1" x14ac:dyDescent="0.25">
      <c r="A5689" s="10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  <c r="Q5689" s="11"/>
      <c r="R5689" s="11"/>
      <c r="S5689" s="11"/>
    </row>
    <row r="5690" spans="1:19" s="9" customFormat="1" x14ac:dyDescent="0.25">
      <c r="A5690" s="10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  <c r="Q5690" s="11"/>
      <c r="R5690" s="11"/>
      <c r="S5690" s="11"/>
    </row>
    <row r="5691" spans="1:19" s="9" customFormat="1" x14ac:dyDescent="0.25">
      <c r="A5691" s="10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  <c r="Q5691" s="11"/>
      <c r="R5691" s="11"/>
      <c r="S5691" s="11"/>
    </row>
    <row r="5692" spans="1:19" s="9" customFormat="1" x14ac:dyDescent="0.25">
      <c r="A5692" s="10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  <c r="Q5692" s="11"/>
      <c r="R5692" s="11"/>
      <c r="S5692" s="11"/>
    </row>
    <row r="5693" spans="1:19" s="9" customFormat="1" x14ac:dyDescent="0.25">
      <c r="A5693" s="10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  <c r="Q5693" s="11"/>
      <c r="R5693" s="11"/>
      <c r="S5693" s="11"/>
    </row>
    <row r="5694" spans="1:19" s="9" customFormat="1" x14ac:dyDescent="0.25">
      <c r="A5694" s="10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  <c r="Q5694" s="11"/>
      <c r="R5694" s="11"/>
      <c r="S5694" s="11"/>
    </row>
    <row r="5695" spans="1:19" s="9" customFormat="1" x14ac:dyDescent="0.25">
      <c r="A5695" s="10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  <c r="Q5695" s="11"/>
      <c r="R5695" s="11"/>
      <c r="S5695" s="11"/>
    </row>
    <row r="5696" spans="1:19" s="9" customFormat="1" x14ac:dyDescent="0.25">
      <c r="A5696" s="10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  <c r="Q5696" s="11"/>
      <c r="R5696" s="11"/>
      <c r="S5696" s="11"/>
    </row>
    <row r="5697" spans="1:19" s="9" customFormat="1" x14ac:dyDescent="0.25">
      <c r="A5697" s="10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  <c r="Q5697" s="11"/>
      <c r="R5697" s="11"/>
      <c r="S5697" s="11"/>
    </row>
    <row r="5698" spans="1:19" s="9" customFormat="1" x14ac:dyDescent="0.25">
      <c r="A5698" s="10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  <c r="Q5698" s="11"/>
      <c r="R5698" s="11"/>
      <c r="S5698" s="11"/>
    </row>
    <row r="5699" spans="1:19" s="9" customFormat="1" x14ac:dyDescent="0.25">
      <c r="A5699" s="10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  <c r="Q5699" s="11"/>
      <c r="R5699" s="11"/>
      <c r="S5699" s="11"/>
    </row>
    <row r="5700" spans="1:19" s="9" customFormat="1" x14ac:dyDescent="0.25">
      <c r="A5700" s="10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  <c r="Q5700" s="11"/>
      <c r="R5700" s="11"/>
      <c r="S5700" s="11"/>
    </row>
    <row r="5701" spans="1:19" s="9" customFormat="1" x14ac:dyDescent="0.25">
      <c r="A5701" s="10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  <c r="Q5701" s="11"/>
      <c r="R5701" s="11"/>
      <c r="S5701" s="11"/>
    </row>
    <row r="5702" spans="1:19" s="9" customFormat="1" x14ac:dyDescent="0.25">
      <c r="A5702" s="10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  <c r="Q5702" s="11"/>
      <c r="R5702" s="11"/>
      <c r="S5702" s="11"/>
    </row>
    <row r="5703" spans="1:19" s="9" customFormat="1" x14ac:dyDescent="0.25">
      <c r="A5703" s="10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  <c r="Q5703" s="11"/>
      <c r="R5703" s="11"/>
      <c r="S5703" s="11"/>
    </row>
    <row r="5704" spans="1:19" s="9" customFormat="1" x14ac:dyDescent="0.25">
      <c r="A5704" s="10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  <c r="Q5704" s="11"/>
      <c r="R5704" s="11"/>
      <c r="S5704" s="11"/>
    </row>
    <row r="5705" spans="1:19" s="9" customFormat="1" x14ac:dyDescent="0.25">
      <c r="A5705" s="10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  <c r="Q5705" s="11"/>
      <c r="R5705" s="11"/>
      <c r="S5705" s="11"/>
    </row>
    <row r="5706" spans="1:19" s="9" customFormat="1" x14ac:dyDescent="0.25">
      <c r="A5706" s="10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  <c r="Q5706" s="11"/>
      <c r="R5706" s="11"/>
      <c r="S5706" s="11"/>
    </row>
    <row r="5707" spans="1:19" s="9" customFormat="1" x14ac:dyDescent="0.25">
      <c r="A5707" s="10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  <c r="Q5707" s="11"/>
      <c r="R5707" s="11"/>
      <c r="S5707" s="11"/>
    </row>
    <row r="5708" spans="1:19" s="9" customFormat="1" x14ac:dyDescent="0.25">
      <c r="A5708" s="10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  <c r="Q5708" s="11"/>
      <c r="R5708" s="11"/>
      <c r="S5708" s="11"/>
    </row>
    <row r="5709" spans="1:19" s="9" customFormat="1" x14ac:dyDescent="0.25">
      <c r="A5709" s="10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  <c r="Q5709" s="11"/>
      <c r="R5709" s="11"/>
      <c r="S5709" s="11"/>
    </row>
    <row r="5710" spans="1:19" s="9" customFormat="1" x14ac:dyDescent="0.25">
      <c r="A5710" s="10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  <c r="Q5710" s="11"/>
      <c r="R5710" s="11"/>
      <c r="S5710" s="11"/>
    </row>
    <row r="5711" spans="1:19" s="9" customFormat="1" x14ac:dyDescent="0.25">
      <c r="A5711" s="10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  <c r="Q5711" s="11"/>
      <c r="R5711" s="11"/>
      <c r="S5711" s="11"/>
    </row>
    <row r="5712" spans="1:19" s="9" customFormat="1" x14ac:dyDescent="0.25">
      <c r="A5712" s="10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  <c r="Q5712" s="11"/>
      <c r="R5712" s="11"/>
      <c r="S5712" s="11"/>
    </row>
    <row r="5713" spans="1:19" s="9" customFormat="1" x14ac:dyDescent="0.25">
      <c r="A5713" s="10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  <c r="Q5713" s="11"/>
      <c r="R5713" s="11"/>
      <c r="S5713" s="11"/>
    </row>
    <row r="5714" spans="1:19" s="9" customFormat="1" x14ac:dyDescent="0.25">
      <c r="A5714" s="10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  <c r="Q5714" s="11"/>
      <c r="R5714" s="11"/>
      <c r="S5714" s="11"/>
    </row>
    <row r="5715" spans="1:19" s="9" customFormat="1" x14ac:dyDescent="0.25">
      <c r="A5715" s="10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  <c r="Q5715" s="11"/>
      <c r="R5715" s="11"/>
      <c r="S5715" s="11"/>
    </row>
    <row r="5716" spans="1:19" s="9" customFormat="1" x14ac:dyDescent="0.25">
      <c r="A5716" s="10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  <c r="Q5716" s="11"/>
      <c r="R5716" s="11"/>
      <c r="S5716" s="11"/>
    </row>
    <row r="5717" spans="1:19" s="9" customFormat="1" x14ac:dyDescent="0.25">
      <c r="A5717" s="10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  <c r="Q5717" s="11"/>
      <c r="R5717" s="11"/>
      <c r="S5717" s="11"/>
    </row>
    <row r="5718" spans="1:19" s="9" customFormat="1" x14ac:dyDescent="0.25">
      <c r="A5718" s="10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  <c r="Q5718" s="11"/>
      <c r="R5718" s="11"/>
      <c r="S5718" s="11"/>
    </row>
    <row r="5719" spans="1:19" s="9" customFormat="1" x14ac:dyDescent="0.25">
      <c r="A5719" s="10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  <c r="Q5719" s="11"/>
      <c r="R5719" s="11"/>
      <c r="S5719" s="11"/>
    </row>
    <row r="5720" spans="1:19" s="9" customFormat="1" x14ac:dyDescent="0.25">
      <c r="A5720" s="10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  <c r="Q5720" s="11"/>
      <c r="R5720" s="11"/>
      <c r="S5720" s="11"/>
    </row>
    <row r="5721" spans="1:19" s="9" customFormat="1" x14ac:dyDescent="0.25">
      <c r="A5721" s="10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  <c r="Q5721" s="11"/>
      <c r="R5721" s="11"/>
      <c r="S5721" s="11"/>
    </row>
    <row r="5722" spans="1:19" s="9" customFormat="1" x14ac:dyDescent="0.25">
      <c r="A5722" s="10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  <c r="Q5722" s="11"/>
      <c r="R5722" s="11"/>
      <c r="S5722" s="11"/>
    </row>
    <row r="5723" spans="1:19" s="9" customFormat="1" x14ac:dyDescent="0.25">
      <c r="A5723" s="10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  <c r="Q5723" s="11"/>
      <c r="R5723" s="11"/>
      <c r="S5723" s="11"/>
    </row>
    <row r="5724" spans="1:19" s="9" customFormat="1" x14ac:dyDescent="0.25">
      <c r="A5724" s="10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  <c r="Q5724" s="11"/>
      <c r="R5724" s="11"/>
      <c r="S5724" s="11"/>
    </row>
    <row r="5725" spans="1:19" s="9" customFormat="1" x14ac:dyDescent="0.25">
      <c r="A5725" s="10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  <c r="Q5725" s="11"/>
      <c r="R5725" s="11"/>
      <c r="S5725" s="11"/>
    </row>
    <row r="5726" spans="1:19" s="9" customFormat="1" x14ac:dyDescent="0.25">
      <c r="A5726" s="10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  <c r="Q5726" s="11"/>
      <c r="R5726" s="11"/>
      <c r="S5726" s="11"/>
    </row>
    <row r="5727" spans="1:19" s="9" customFormat="1" x14ac:dyDescent="0.25">
      <c r="A5727" s="10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  <c r="Q5727" s="11"/>
      <c r="R5727" s="11"/>
      <c r="S5727" s="11"/>
    </row>
    <row r="5728" spans="1:19" s="9" customFormat="1" x14ac:dyDescent="0.25">
      <c r="A5728" s="10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  <c r="Q5728" s="11"/>
      <c r="R5728" s="11"/>
      <c r="S5728" s="11"/>
    </row>
    <row r="5729" spans="1:19" s="9" customFormat="1" x14ac:dyDescent="0.25">
      <c r="A5729" s="10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  <c r="Q5729" s="11"/>
      <c r="R5729" s="11"/>
      <c r="S5729" s="11"/>
    </row>
    <row r="5730" spans="1:19" s="9" customFormat="1" x14ac:dyDescent="0.25">
      <c r="A5730" s="10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  <c r="Q5730" s="11"/>
      <c r="R5730" s="11"/>
      <c r="S5730" s="11"/>
    </row>
    <row r="5731" spans="1:19" s="9" customFormat="1" x14ac:dyDescent="0.25">
      <c r="A5731" s="10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  <c r="Q5731" s="11"/>
      <c r="R5731" s="11"/>
      <c r="S5731" s="11"/>
    </row>
    <row r="5732" spans="1:19" s="9" customFormat="1" x14ac:dyDescent="0.25">
      <c r="A5732" s="10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  <c r="Q5732" s="11"/>
      <c r="R5732" s="11"/>
      <c r="S5732" s="11"/>
    </row>
    <row r="5733" spans="1:19" s="9" customFormat="1" x14ac:dyDescent="0.25">
      <c r="A5733" s="10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  <c r="Q5733" s="11"/>
      <c r="R5733" s="11"/>
      <c r="S5733" s="11"/>
    </row>
    <row r="5734" spans="1:19" s="9" customFormat="1" x14ac:dyDescent="0.25">
      <c r="A5734" s="10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  <c r="Q5734" s="11"/>
      <c r="R5734" s="11"/>
      <c r="S5734" s="11"/>
    </row>
    <row r="5735" spans="1:19" s="9" customFormat="1" x14ac:dyDescent="0.25">
      <c r="A5735" s="10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  <c r="Q5735" s="11"/>
      <c r="R5735" s="11"/>
      <c r="S5735" s="11"/>
    </row>
    <row r="5736" spans="1:19" s="9" customFormat="1" x14ac:dyDescent="0.25">
      <c r="A5736" s="10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  <c r="Q5736" s="11"/>
      <c r="R5736" s="11"/>
      <c r="S5736" s="11"/>
    </row>
    <row r="5737" spans="1:19" s="9" customFormat="1" x14ac:dyDescent="0.25">
      <c r="A5737" s="10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  <c r="Q5737" s="11"/>
      <c r="R5737" s="11"/>
      <c r="S5737" s="11"/>
    </row>
    <row r="5738" spans="1:19" s="9" customFormat="1" x14ac:dyDescent="0.25">
      <c r="A5738" s="10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  <c r="Q5738" s="11"/>
      <c r="R5738" s="11"/>
      <c r="S5738" s="11"/>
    </row>
    <row r="5739" spans="1:19" s="9" customFormat="1" x14ac:dyDescent="0.25">
      <c r="A5739" s="10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  <c r="Q5739" s="11"/>
      <c r="R5739" s="11"/>
      <c r="S5739" s="11"/>
    </row>
    <row r="5740" spans="1:19" s="9" customFormat="1" x14ac:dyDescent="0.25">
      <c r="A5740" s="10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  <c r="Q5740" s="11"/>
      <c r="R5740" s="11"/>
      <c r="S5740" s="11"/>
    </row>
    <row r="5741" spans="1:19" s="9" customFormat="1" x14ac:dyDescent="0.25">
      <c r="A5741" s="10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  <c r="Q5741" s="11"/>
      <c r="R5741" s="11"/>
      <c r="S5741" s="11"/>
    </row>
    <row r="5742" spans="1:19" s="9" customFormat="1" x14ac:dyDescent="0.25">
      <c r="A5742" s="10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  <c r="Q5742" s="11"/>
      <c r="R5742" s="11"/>
      <c r="S5742" s="11"/>
    </row>
    <row r="5743" spans="1:19" s="9" customFormat="1" x14ac:dyDescent="0.25">
      <c r="A5743" s="10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  <c r="Q5743" s="11"/>
      <c r="R5743" s="11"/>
      <c r="S5743" s="11"/>
    </row>
    <row r="5744" spans="1:19" s="9" customFormat="1" x14ac:dyDescent="0.25">
      <c r="A5744" s="10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  <c r="Q5744" s="11"/>
      <c r="R5744" s="11"/>
      <c r="S5744" s="11"/>
    </row>
    <row r="5745" spans="1:19" s="9" customFormat="1" x14ac:dyDescent="0.25">
      <c r="A5745" s="10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  <c r="Q5745" s="11"/>
      <c r="R5745" s="11"/>
      <c r="S5745" s="11"/>
    </row>
    <row r="5746" spans="1:19" s="9" customFormat="1" x14ac:dyDescent="0.25">
      <c r="A5746" s="10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  <c r="Q5746" s="11"/>
      <c r="R5746" s="11"/>
      <c r="S5746" s="11"/>
    </row>
    <row r="5747" spans="1:19" s="9" customFormat="1" x14ac:dyDescent="0.25">
      <c r="A5747" s="10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  <c r="Q5747" s="11"/>
      <c r="R5747" s="11"/>
      <c r="S5747" s="11"/>
    </row>
    <row r="5748" spans="1:19" s="9" customFormat="1" x14ac:dyDescent="0.25">
      <c r="A5748" s="10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  <c r="Q5748" s="11"/>
      <c r="R5748" s="11"/>
      <c r="S5748" s="11"/>
    </row>
    <row r="5749" spans="1:19" s="9" customFormat="1" x14ac:dyDescent="0.25">
      <c r="A5749" s="10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  <c r="Q5749" s="11"/>
      <c r="R5749" s="11"/>
      <c r="S5749" s="11"/>
    </row>
    <row r="5750" spans="1:19" s="9" customFormat="1" x14ac:dyDescent="0.25">
      <c r="A5750" s="10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  <c r="Q5750" s="11"/>
      <c r="R5750" s="11"/>
      <c r="S5750" s="11"/>
    </row>
    <row r="5751" spans="1:19" s="9" customFormat="1" x14ac:dyDescent="0.25">
      <c r="A5751" s="10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  <c r="Q5751" s="11"/>
      <c r="R5751" s="11"/>
      <c r="S5751" s="11"/>
    </row>
    <row r="5752" spans="1:19" s="9" customFormat="1" x14ac:dyDescent="0.25">
      <c r="A5752" s="10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  <c r="Q5752" s="11"/>
      <c r="R5752" s="11"/>
      <c r="S5752" s="11"/>
    </row>
    <row r="5753" spans="1:19" s="9" customFormat="1" x14ac:dyDescent="0.25">
      <c r="A5753" s="10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  <c r="Q5753" s="11"/>
      <c r="R5753" s="11"/>
      <c r="S5753" s="11"/>
    </row>
    <row r="5754" spans="1:19" s="9" customFormat="1" x14ac:dyDescent="0.25">
      <c r="A5754" s="10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  <c r="Q5754" s="11"/>
      <c r="R5754" s="11"/>
      <c r="S5754" s="11"/>
    </row>
    <row r="5755" spans="1:19" s="9" customFormat="1" x14ac:dyDescent="0.25">
      <c r="A5755" s="10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  <c r="Q5755" s="11"/>
      <c r="R5755" s="11"/>
      <c r="S5755" s="11"/>
    </row>
    <row r="5756" spans="1:19" s="9" customFormat="1" x14ac:dyDescent="0.25">
      <c r="A5756" s="10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  <c r="Q5756" s="11"/>
      <c r="R5756" s="11"/>
      <c r="S5756" s="11"/>
    </row>
    <row r="5757" spans="1:19" s="9" customFormat="1" x14ac:dyDescent="0.25">
      <c r="A5757" s="10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  <c r="Q5757" s="11"/>
      <c r="R5757" s="11"/>
      <c r="S5757" s="11"/>
    </row>
    <row r="5758" spans="1:19" s="9" customFormat="1" x14ac:dyDescent="0.25">
      <c r="A5758" s="10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  <c r="Q5758" s="11"/>
      <c r="R5758" s="11"/>
      <c r="S5758" s="11"/>
    </row>
    <row r="5759" spans="1:19" s="9" customFormat="1" x14ac:dyDescent="0.25">
      <c r="A5759" s="10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  <c r="Q5759" s="11"/>
      <c r="R5759" s="11"/>
      <c r="S5759" s="11"/>
    </row>
    <row r="5760" spans="1:19" s="9" customFormat="1" x14ac:dyDescent="0.25">
      <c r="A5760" s="10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  <c r="Q5760" s="11"/>
      <c r="R5760" s="11"/>
      <c r="S5760" s="11"/>
    </row>
    <row r="5761" spans="1:19" s="9" customFormat="1" x14ac:dyDescent="0.25">
      <c r="A5761" s="10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  <c r="Q5761" s="11"/>
      <c r="R5761" s="11"/>
      <c r="S5761" s="11"/>
    </row>
    <row r="5762" spans="1:19" s="9" customFormat="1" x14ac:dyDescent="0.25">
      <c r="A5762" s="10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  <c r="Q5762" s="11"/>
      <c r="R5762" s="11"/>
      <c r="S5762" s="11"/>
    </row>
    <row r="5763" spans="1:19" s="9" customFormat="1" x14ac:dyDescent="0.25">
      <c r="A5763" s="10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  <c r="Q5763" s="11"/>
      <c r="R5763" s="11"/>
      <c r="S5763" s="11"/>
    </row>
    <row r="5764" spans="1:19" s="9" customFormat="1" x14ac:dyDescent="0.25">
      <c r="A5764" s="10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  <c r="Q5764" s="11"/>
      <c r="R5764" s="11"/>
      <c r="S5764" s="11"/>
    </row>
    <row r="5765" spans="1:19" s="9" customFormat="1" x14ac:dyDescent="0.25">
      <c r="A5765" s="10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  <c r="Q5765" s="11"/>
      <c r="R5765" s="11"/>
      <c r="S5765" s="11"/>
    </row>
    <row r="5766" spans="1:19" s="9" customFormat="1" x14ac:dyDescent="0.25">
      <c r="A5766" s="10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  <c r="Q5766" s="11"/>
      <c r="R5766" s="11"/>
      <c r="S5766" s="11"/>
    </row>
    <row r="5767" spans="1:19" s="9" customFormat="1" x14ac:dyDescent="0.25">
      <c r="A5767" s="10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  <c r="Q5767" s="11"/>
      <c r="R5767" s="11"/>
      <c r="S5767" s="11"/>
    </row>
    <row r="5768" spans="1:19" s="9" customFormat="1" x14ac:dyDescent="0.25">
      <c r="A5768" s="10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  <c r="Q5768" s="11"/>
      <c r="R5768" s="11"/>
      <c r="S5768" s="11"/>
    </row>
    <row r="5769" spans="1:19" s="9" customFormat="1" x14ac:dyDescent="0.25">
      <c r="A5769" s="10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  <c r="Q5769" s="11"/>
      <c r="R5769" s="11"/>
      <c r="S5769" s="11"/>
    </row>
    <row r="5770" spans="1:19" s="9" customFormat="1" x14ac:dyDescent="0.25">
      <c r="A5770" s="10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  <c r="Q5770" s="11"/>
      <c r="R5770" s="11"/>
      <c r="S5770" s="11"/>
    </row>
    <row r="5771" spans="1:19" s="9" customFormat="1" x14ac:dyDescent="0.25">
      <c r="A5771" s="10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  <c r="Q5771" s="11"/>
      <c r="R5771" s="11"/>
      <c r="S5771" s="11"/>
    </row>
    <row r="5772" spans="1:19" s="9" customFormat="1" x14ac:dyDescent="0.25">
      <c r="A5772" s="10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  <c r="Q5772" s="11"/>
      <c r="R5772" s="11"/>
      <c r="S5772" s="11"/>
    </row>
    <row r="5773" spans="1:19" s="9" customFormat="1" x14ac:dyDescent="0.25">
      <c r="A5773" s="10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  <c r="Q5773" s="11"/>
      <c r="R5773" s="11"/>
      <c r="S5773" s="11"/>
    </row>
    <row r="5774" spans="1:19" s="9" customFormat="1" x14ac:dyDescent="0.25">
      <c r="A5774" s="10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  <c r="Q5774" s="11"/>
      <c r="R5774" s="11"/>
      <c r="S5774" s="11"/>
    </row>
    <row r="5775" spans="1:19" s="9" customFormat="1" x14ac:dyDescent="0.25">
      <c r="A5775" s="10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  <c r="Q5775" s="11"/>
      <c r="R5775" s="11"/>
      <c r="S5775" s="11"/>
    </row>
    <row r="5776" spans="1:19" s="9" customFormat="1" x14ac:dyDescent="0.25">
      <c r="A5776" s="10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  <c r="Q5776" s="11"/>
      <c r="R5776" s="11"/>
      <c r="S5776" s="11"/>
    </row>
    <row r="5777" spans="1:19" s="9" customFormat="1" x14ac:dyDescent="0.25">
      <c r="A5777" s="10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  <c r="Q5777" s="11"/>
      <c r="R5777" s="11"/>
      <c r="S5777" s="11"/>
    </row>
    <row r="5778" spans="1:19" s="9" customFormat="1" x14ac:dyDescent="0.25">
      <c r="A5778" s="10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  <c r="Q5778" s="11"/>
      <c r="R5778" s="11"/>
      <c r="S5778" s="11"/>
    </row>
    <row r="5779" spans="1:19" s="9" customFormat="1" x14ac:dyDescent="0.25">
      <c r="A5779" s="10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  <c r="Q5779" s="11"/>
      <c r="R5779" s="11"/>
      <c r="S5779" s="11"/>
    </row>
    <row r="5780" spans="1:19" s="9" customFormat="1" x14ac:dyDescent="0.25">
      <c r="A5780" s="10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  <c r="Q5780" s="11"/>
      <c r="R5780" s="11"/>
      <c r="S5780" s="11"/>
    </row>
    <row r="5781" spans="1:19" s="9" customFormat="1" x14ac:dyDescent="0.25">
      <c r="A5781" s="10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  <c r="Q5781" s="11"/>
      <c r="R5781" s="11"/>
      <c r="S5781" s="11"/>
    </row>
    <row r="5782" spans="1:19" s="9" customFormat="1" x14ac:dyDescent="0.25">
      <c r="A5782" s="10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  <c r="Q5782" s="11"/>
      <c r="R5782" s="11"/>
      <c r="S5782" s="11"/>
    </row>
    <row r="5783" spans="1:19" s="9" customFormat="1" x14ac:dyDescent="0.25">
      <c r="A5783" s="10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  <c r="Q5783" s="11"/>
      <c r="R5783" s="11"/>
      <c r="S5783" s="11"/>
    </row>
    <row r="5784" spans="1:19" s="9" customFormat="1" x14ac:dyDescent="0.25">
      <c r="A5784" s="10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  <c r="Q5784" s="11"/>
      <c r="R5784" s="11"/>
      <c r="S5784" s="11"/>
    </row>
    <row r="5785" spans="1:19" s="9" customFormat="1" x14ac:dyDescent="0.25">
      <c r="A5785" s="10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  <c r="Q5785" s="11"/>
      <c r="R5785" s="11"/>
      <c r="S5785" s="11"/>
    </row>
    <row r="5786" spans="1:19" s="9" customFormat="1" x14ac:dyDescent="0.25">
      <c r="A5786" s="10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  <c r="Q5786" s="11"/>
      <c r="R5786" s="11"/>
      <c r="S5786" s="11"/>
    </row>
    <row r="5787" spans="1:19" s="9" customFormat="1" x14ac:dyDescent="0.25">
      <c r="A5787" s="10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  <c r="Q5787" s="11"/>
      <c r="R5787" s="11"/>
      <c r="S5787" s="11"/>
    </row>
    <row r="5788" spans="1:19" s="9" customFormat="1" x14ac:dyDescent="0.25">
      <c r="A5788" s="10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  <c r="Q5788" s="11"/>
      <c r="R5788" s="11"/>
      <c r="S5788" s="11"/>
    </row>
    <row r="5789" spans="1:19" s="9" customFormat="1" x14ac:dyDescent="0.25">
      <c r="A5789" s="10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  <c r="Q5789" s="11"/>
      <c r="R5789" s="11"/>
      <c r="S5789" s="11"/>
    </row>
    <row r="5790" spans="1:19" s="9" customFormat="1" x14ac:dyDescent="0.25">
      <c r="A5790" s="10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  <c r="Q5790" s="11"/>
      <c r="R5790" s="11"/>
      <c r="S5790" s="11"/>
    </row>
    <row r="5791" spans="1:19" s="9" customFormat="1" x14ac:dyDescent="0.25">
      <c r="A5791" s="10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  <c r="Q5791" s="11"/>
      <c r="R5791" s="11"/>
      <c r="S5791" s="11"/>
    </row>
    <row r="5792" spans="1:19" s="9" customFormat="1" x14ac:dyDescent="0.25">
      <c r="A5792" s="10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  <c r="Q5792" s="11"/>
      <c r="R5792" s="11"/>
      <c r="S5792" s="11"/>
    </row>
    <row r="5793" spans="1:19" s="9" customFormat="1" x14ac:dyDescent="0.25">
      <c r="A5793" s="10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  <c r="Q5793" s="11"/>
      <c r="R5793" s="11"/>
      <c r="S5793" s="11"/>
    </row>
    <row r="5794" spans="1:19" s="9" customFormat="1" x14ac:dyDescent="0.25">
      <c r="A5794" s="10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  <c r="Q5794" s="11"/>
      <c r="R5794" s="11"/>
      <c r="S5794" s="11"/>
    </row>
    <row r="5795" spans="1:19" s="9" customFormat="1" x14ac:dyDescent="0.25">
      <c r="A5795" s="10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  <c r="Q5795" s="11"/>
      <c r="R5795" s="11"/>
      <c r="S5795" s="11"/>
    </row>
    <row r="5796" spans="1:19" s="9" customFormat="1" x14ac:dyDescent="0.25">
      <c r="A5796" s="10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  <c r="Q5796" s="11"/>
      <c r="R5796" s="11"/>
      <c r="S5796" s="11"/>
    </row>
    <row r="5797" spans="1:19" s="9" customFormat="1" x14ac:dyDescent="0.25">
      <c r="A5797" s="10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  <c r="Q5797" s="11"/>
      <c r="R5797" s="11"/>
      <c r="S5797" s="11"/>
    </row>
    <row r="5798" spans="1:19" s="9" customFormat="1" x14ac:dyDescent="0.25">
      <c r="A5798" s="10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  <c r="Q5798" s="11"/>
      <c r="R5798" s="11"/>
      <c r="S5798" s="11"/>
    </row>
    <row r="5799" spans="1:19" s="9" customFormat="1" x14ac:dyDescent="0.25">
      <c r="A5799" s="10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  <c r="Q5799" s="11"/>
      <c r="R5799" s="11"/>
      <c r="S5799" s="11"/>
    </row>
    <row r="5800" spans="1:19" s="9" customFormat="1" x14ac:dyDescent="0.25">
      <c r="A5800" s="10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  <c r="Q5800" s="11"/>
      <c r="R5800" s="11"/>
      <c r="S5800" s="11"/>
    </row>
    <row r="5801" spans="1:19" s="9" customFormat="1" x14ac:dyDescent="0.25">
      <c r="A5801" s="10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  <c r="Q5801" s="11"/>
      <c r="R5801" s="11"/>
      <c r="S5801" s="11"/>
    </row>
    <row r="5802" spans="1:19" s="9" customFormat="1" x14ac:dyDescent="0.25">
      <c r="A5802" s="10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  <c r="Q5802" s="11"/>
      <c r="R5802" s="11"/>
      <c r="S5802" s="11"/>
    </row>
    <row r="5803" spans="1:19" s="9" customFormat="1" x14ac:dyDescent="0.25">
      <c r="A5803" s="10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  <c r="Q5803" s="11"/>
      <c r="R5803" s="11"/>
      <c r="S5803" s="11"/>
    </row>
    <row r="5804" spans="1:19" s="9" customFormat="1" x14ac:dyDescent="0.25">
      <c r="A5804" s="10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  <c r="Q5804" s="11"/>
      <c r="R5804" s="11"/>
      <c r="S5804" s="11"/>
    </row>
    <row r="5805" spans="1:19" s="9" customFormat="1" x14ac:dyDescent="0.25">
      <c r="A5805" s="10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  <c r="Q5805" s="11"/>
      <c r="R5805" s="11"/>
      <c r="S5805" s="11"/>
    </row>
    <row r="5806" spans="1:19" s="9" customFormat="1" x14ac:dyDescent="0.25">
      <c r="A5806" s="10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  <c r="Q5806" s="11"/>
      <c r="R5806" s="11"/>
      <c r="S5806" s="11"/>
    </row>
    <row r="5807" spans="1:19" s="9" customFormat="1" x14ac:dyDescent="0.25">
      <c r="A5807" s="10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  <c r="Q5807" s="11"/>
      <c r="R5807" s="11"/>
      <c r="S5807" s="11"/>
    </row>
    <row r="5808" spans="1:19" s="9" customFormat="1" x14ac:dyDescent="0.25">
      <c r="A5808" s="10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  <c r="Q5808" s="11"/>
      <c r="R5808" s="11"/>
      <c r="S5808" s="11"/>
    </row>
    <row r="5809" spans="1:19" s="9" customFormat="1" x14ac:dyDescent="0.25">
      <c r="A5809" s="10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  <c r="Q5809" s="11"/>
      <c r="R5809" s="11"/>
      <c r="S5809" s="11"/>
    </row>
    <row r="5810" spans="1:19" s="9" customFormat="1" x14ac:dyDescent="0.25">
      <c r="A5810" s="10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  <c r="Q5810" s="11"/>
      <c r="R5810" s="11"/>
      <c r="S5810" s="11"/>
    </row>
    <row r="5811" spans="1:19" s="9" customFormat="1" x14ac:dyDescent="0.25">
      <c r="A5811" s="10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  <c r="Q5811" s="11"/>
      <c r="R5811" s="11"/>
      <c r="S5811" s="11"/>
    </row>
    <row r="5812" spans="1:19" s="9" customFormat="1" x14ac:dyDescent="0.25">
      <c r="A5812" s="10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  <c r="Q5812" s="11"/>
      <c r="R5812" s="11"/>
      <c r="S5812" s="11"/>
    </row>
    <row r="5813" spans="1:19" s="9" customFormat="1" x14ac:dyDescent="0.25">
      <c r="A5813" s="10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  <c r="Q5813" s="11"/>
      <c r="R5813" s="11"/>
      <c r="S5813" s="11"/>
    </row>
    <row r="5814" spans="1:19" s="9" customFormat="1" x14ac:dyDescent="0.25">
      <c r="A5814" s="10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  <c r="Q5814" s="11"/>
      <c r="R5814" s="11"/>
      <c r="S5814" s="11"/>
    </row>
    <row r="5815" spans="1:19" s="9" customFormat="1" x14ac:dyDescent="0.25">
      <c r="A5815" s="10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  <c r="Q5815" s="11"/>
      <c r="R5815" s="11"/>
      <c r="S5815" s="11"/>
    </row>
    <row r="5816" spans="1:19" s="9" customFormat="1" x14ac:dyDescent="0.25">
      <c r="A5816" s="10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  <c r="Q5816" s="11"/>
      <c r="R5816" s="11"/>
      <c r="S5816" s="11"/>
    </row>
    <row r="5817" spans="1:19" s="9" customFormat="1" x14ac:dyDescent="0.25">
      <c r="A5817" s="10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  <c r="Q5817" s="11"/>
      <c r="R5817" s="11"/>
      <c r="S5817" s="11"/>
    </row>
    <row r="5818" spans="1:19" s="9" customFormat="1" x14ac:dyDescent="0.25">
      <c r="A5818" s="10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  <c r="Q5818" s="11"/>
      <c r="R5818" s="11"/>
      <c r="S5818" s="11"/>
    </row>
    <row r="5819" spans="1:19" s="9" customFormat="1" x14ac:dyDescent="0.25">
      <c r="A5819" s="10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  <c r="Q5819" s="11"/>
      <c r="R5819" s="11"/>
      <c r="S5819" s="11"/>
    </row>
    <row r="5820" spans="1:19" s="9" customFormat="1" x14ac:dyDescent="0.25">
      <c r="A5820" s="10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  <c r="Q5820" s="11"/>
      <c r="R5820" s="11"/>
      <c r="S5820" s="11"/>
    </row>
    <row r="5821" spans="1:19" s="9" customFormat="1" x14ac:dyDescent="0.25">
      <c r="A5821" s="10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  <c r="Q5821" s="11"/>
      <c r="R5821" s="11"/>
      <c r="S5821" s="11"/>
    </row>
    <row r="5822" spans="1:19" s="9" customFormat="1" x14ac:dyDescent="0.25">
      <c r="A5822" s="10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  <c r="Q5822" s="11"/>
      <c r="R5822" s="11"/>
      <c r="S5822" s="11"/>
    </row>
    <row r="5823" spans="1:19" s="9" customFormat="1" x14ac:dyDescent="0.25">
      <c r="A5823" s="10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  <c r="Q5823" s="11"/>
      <c r="R5823" s="11"/>
      <c r="S5823" s="11"/>
    </row>
    <row r="5824" spans="1:19" s="9" customFormat="1" x14ac:dyDescent="0.25">
      <c r="A5824" s="10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  <c r="Q5824" s="11"/>
      <c r="R5824" s="11"/>
      <c r="S5824" s="11"/>
    </row>
    <row r="5825" spans="1:19" s="9" customFormat="1" x14ac:dyDescent="0.25">
      <c r="A5825" s="10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  <c r="Q5825" s="11"/>
      <c r="R5825" s="11"/>
      <c r="S5825" s="11"/>
    </row>
    <row r="5826" spans="1:19" s="9" customFormat="1" x14ac:dyDescent="0.25">
      <c r="A5826" s="10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  <c r="Q5826" s="11"/>
      <c r="R5826" s="11"/>
      <c r="S5826" s="11"/>
    </row>
    <row r="5827" spans="1:19" s="9" customFormat="1" x14ac:dyDescent="0.25">
      <c r="A5827" s="10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  <c r="Q5827" s="11"/>
      <c r="R5827" s="11"/>
      <c r="S5827" s="11"/>
    </row>
    <row r="5828" spans="1:19" s="9" customFormat="1" x14ac:dyDescent="0.25">
      <c r="A5828" s="10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  <c r="Q5828" s="11"/>
      <c r="R5828" s="11"/>
      <c r="S5828" s="11"/>
    </row>
    <row r="5829" spans="1:19" s="9" customFormat="1" x14ac:dyDescent="0.25">
      <c r="A5829" s="10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  <c r="Q5829" s="11"/>
      <c r="R5829" s="11"/>
      <c r="S5829" s="11"/>
    </row>
    <row r="5830" spans="1:19" s="9" customFormat="1" x14ac:dyDescent="0.25">
      <c r="A5830" s="10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  <c r="Q5830" s="11"/>
      <c r="R5830" s="11"/>
      <c r="S5830" s="11"/>
    </row>
    <row r="5831" spans="1:19" s="9" customFormat="1" x14ac:dyDescent="0.25">
      <c r="A5831" s="10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  <c r="Q5831" s="11"/>
      <c r="R5831" s="11"/>
      <c r="S5831" s="11"/>
    </row>
    <row r="5832" spans="1:19" s="9" customFormat="1" x14ac:dyDescent="0.25">
      <c r="A5832" s="10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  <c r="Q5832" s="11"/>
      <c r="R5832" s="11"/>
      <c r="S5832" s="11"/>
    </row>
    <row r="5833" spans="1:19" s="9" customFormat="1" x14ac:dyDescent="0.25">
      <c r="A5833" s="10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  <c r="Q5833" s="11"/>
      <c r="R5833" s="11"/>
      <c r="S5833" s="11"/>
    </row>
    <row r="5834" spans="1:19" s="9" customFormat="1" x14ac:dyDescent="0.25">
      <c r="A5834" s="10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  <c r="Q5834" s="11"/>
      <c r="R5834" s="11"/>
      <c r="S5834" s="11"/>
    </row>
    <row r="5835" spans="1:19" s="9" customFormat="1" x14ac:dyDescent="0.25">
      <c r="A5835" s="10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  <c r="Q5835" s="11"/>
      <c r="R5835" s="11"/>
      <c r="S5835" s="11"/>
    </row>
    <row r="5836" spans="1:19" s="9" customFormat="1" x14ac:dyDescent="0.25">
      <c r="A5836" s="10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  <c r="Q5836" s="11"/>
      <c r="R5836" s="11"/>
      <c r="S5836" s="11"/>
    </row>
    <row r="5837" spans="1:19" s="9" customFormat="1" x14ac:dyDescent="0.25">
      <c r="A5837" s="10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  <c r="Q5837" s="11"/>
      <c r="R5837" s="11"/>
      <c r="S5837" s="11"/>
    </row>
    <row r="5838" spans="1:19" s="9" customFormat="1" x14ac:dyDescent="0.25">
      <c r="A5838" s="10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  <c r="Q5838" s="11"/>
      <c r="R5838" s="11"/>
      <c r="S5838" s="11"/>
    </row>
    <row r="5839" spans="1:19" s="9" customFormat="1" x14ac:dyDescent="0.25">
      <c r="A5839" s="10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  <c r="Q5839" s="11"/>
      <c r="R5839" s="11"/>
      <c r="S5839" s="11"/>
    </row>
    <row r="5840" spans="1:19" s="9" customFormat="1" x14ac:dyDescent="0.25">
      <c r="A5840" s="10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  <c r="Q5840" s="11"/>
      <c r="R5840" s="11"/>
      <c r="S5840" s="11"/>
    </row>
    <row r="5841" spans="1:19" s="9" customFormat="1" x14ac:dyDescent="0.25">
      <c r="A5841" s="10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  <c r="Q5841" s="11"/>
      <c r="R5841" s="11"/>
      <c r="S5841" s="11"/>
    </row>
    <row r="5842" spans="1:19" s="9" customFormat="1" x14ac:dyDescent="0.25">
      <c r="A5842" s="10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  <c r="Q5842" s="11"/>
      <c r="R5842" s="11"/>
      <c r="S5842" s="11"/>
    </row>
    <row r="5843" spans="1:19" s="9" customFormat="1" x14ac:dyDescent="0.25">
      <c r="A5843" s="10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  <c r="Q5843" s="11"/>
      <c r="R5843" s="11"/>
      <c r="S5843" s="11"/>
    </row>
    <row r="5844" spans="1:19" s="9" customFormat="1" x14ac:dyDescent="0.25">
      <c r="A5844" s="10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  <c r="Q5844" s="11"/>
      <c r="R5844" s="11"/>
      <c r="S5844" s="11"/>
    </row>
    <row r="5845" spans="1:19" s="9" customFormat="1" x14ac:dyDescent="0.25">
      <c r="A5845" s="10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  <c r="Q5845" s="11"/>
      <c r="R5845" s="11"/>
      <c r="S5845" s="11"/>
    </row>
    <row r="5846" spans="1:19" s="9" customFormat="1" x14ac:dyDescent="0.25">
      <c r="A5846" s="10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  <c r="Q5846" s="11"/>
      <c r="R5846" s="11"/>
      <c r="S5846" s="11"/>
    </row>
    <row r="5847" spans="1:19" s="9" customFormat="1" x14ac:dyDescent="0.25">
      <c r="A5847" s="10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  <c r="Q5847" s="11"/>
      <c r="R5847" s="11"/>
      <c r="S5847" s="11"/>
    </row>
    <row r="5848" spans="1:19" s="9" customFormat="1" x14ac:dyDescent="0.25">
      <c r="A5848" s="10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  <c r="Q5848" s="11"/>
      <c r="R5848" s="11"/>
      <c r="S5848" s="11"/>
    </row>
    <row r="5849" spans="1:19" s="9" customFormat="1" x14ac:dyDescent="0.25">
      <c r="A5849" s="10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  <c r="Q5849" s="11"/>
      <c r="R5849" s="11"/>
      <c r="S5849" s="11"/>
    </row>
    <row r="5850" spans="1:19" s="9" customFormat="1" x14ac:dyDescent="0.25">
      <c r="A5850" s="10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  <c r="Q5850" s="11"/>
      <c r="R5850" s="11"/>
      <c r="S5850" s="11"/>
    </row>
    <row r="5851" spans="1:19" s="9" customFormat="1" x14ac:dyDescent="0.25">
      <c r="A5851" s="10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  <c r="Q5851" s="11"/>
      <c r="R5851" s="11"/>
      <c r="S5851" s="11"/>
    </row>
    <row r="5852" spans="1:19" s="9" customFormat="1" x14ac:dyDescent="0.25">
      <c r="A5852" s="10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  <c r="Q5852" s="11"/>
      <c r="R5852" s="11"/>
      <c r="S5852" s="11"/>
    </row>
    <row r="5853" spans="1:19" s="9" customFormat="1" x14ac:dyDescent="0.25">
      <c r="A5853" s="10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  <c r="Q5853" s="11"/>
      <c r="R5853" s="11"/>
      <c r="S5853" s="11"/>
    </row>
    <row r="5854" spans="1:19" s="9" customFormat="1" x14ac:dyDescent="0.25">
      <c r="A5854" s="10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  <c r="Q5854" s="11"/>
      <c r="R5854" s="11"/>
      <c r="S5854" s="11"/>
    </row>
    <row r="5855" spans="1:19" s="9" customFormat="1" x14ac:dyDescent="0.25">
      <c r="A5855" s="10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  <c r="Q5855" s="11"/>
      <c r="R5855" s="11"/>
      <c r="S5855" s="11"/>
    </row>
    <row r="5856" spans="1:19" s="9" customFormat="1" x14ac:dyDescent="0.25">
      <c r="A5856" s="10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  <c r="Q5856" s="11"/>
      <c r="R5856" s="11"/>
      <c r="S5856" s="11"/>
    </row>
    <row r="5857" spans="1:19" s="9" customFormat="1" x14ac:dyDescent="0.25">
      <c r="A5857" s="10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  <c r="Q5857" s="11"/>
      <c r="R5857" s="11"/>
      <c r="S5857" s="11"/>
    </row>
    <row r="5858" spans="1:19" s="9" customFormat="1" x14ac:dyDescent="0.25">
      <c r="A5858" s="10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  <c r="Q5858" s="11"/>
      <c r="R5858" s="11"/>
      <c r="S5858" s="11"/>
    </row>
    <row r="5859" spans="1:19" s="9" customFormat="1" x14ac:dyDescent="0.25">
      <c r="A5859" s="10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  <c r="Q5859" s="11"/>
      <c r="R5859" s="11"/>
      <c r="S5859" s="11"/>
    </row>
    <row r="5860" spans="1:19" s="9" customFormat="1" x14ac:dyDescent="0.25">
      <c r="A5860" s="10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  <c r="Q5860" s="11"/>
      <c r="R5860" s="11"/>
      <c r="S5860" s="11"/>
    </row>
    <row r="5861" spans="1:19" s="9" customFormat="1" x14ac:dyDescent="0.25">
      <c r="A5861" s="10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  <c r="Q5861" s="11"/>
      <c r="R5861" s="11"/>
      <c r="S5861" s="11"/>
    </row>
    <row r="5862" spans="1:19" s="9" customFormat="1" x14ac:dyDescent="0.25">
      <c r="A5862" s="10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  <c r="Q5862" s="11"/>
      <c r="R5862" s="11"/>
      <c r="S5862" s="11"/>
    </row>
    <row r="5863" spans="1:19" s="9" customFormat="1" x14ac:dyDescent="0.25">
      <c r="A5863" s="10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  <c r="Q5863" s="11"/>
      <c r="R5863" s="11"/>
      <c r="S5863" s="11"/>
    </row>
    <row r="5864" spans="1:19" s="9" customFormat="1" x14ac:dyDescent="0.25">
      <c r="A5864" s="10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  <c r="Q5864" s="11"/>
      <c r="R5864" s="11"/>
      <c r="S5864" s="11"/>
    </row>
    <row r="5865" spans="1:19" s="9" customFormat="1" x14ac:dyDescent="0.25">
      <c r="A5865" s="10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  <c r="Q5865" s="11"/>
      <c r="R5865" s="11"/>
      <c r="S5865" s="11"/>
    </row>
    <row r="5866" spans="1:19" s="9" customFormat="1" x14ac:dyDescent="0.25">
      <c r="A5866" s="10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  <c r="Q5866" s="11"/>
      <c r="R5866" s="11"/>
      <c r="S5866" s="11"/>
    </row>
    <row r="5867" spans="1:19" s="9" customFormat="1" x14ac:dyDescent="0.25">
      <c r="A5867" s="10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  <c r="Q5867" s="11"/>
      <c r="R5867" s="11"/>
      <c r="S5867" s="11"/>
    </row>
    <row r="5868" spans="1:19" s="9" customFormat="1" x14ac:dyDescent="0.25">
      <c r="A5868" s="10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  <c r="Q5868" s="11"/>
      <c r="R5868" s="11"/>
      <c r="S5868" s="11"/>
    </row>
    <row r="5869" spans="1:19" s="9" customFormat="1" x14ac:dyDescent="0.25">
      <c r="A5869" s="10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  <c r="Q5869" s="11"/>
      <c r="R5869" s="11"/>
      <c r="S5869" s="11"/>
    </row>
    <row r="5870" spans="1:19" s="9" customFormat="1" x14ac:dyDescent="0.25">
      <c r="A5870" s="10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  <c r="Q5870" s="11"/>
      <c r="R5870" s="11"/>
      <c r="S5870" s="11"/>
    </row>
    <row r="5871" spans="1:19" s="9" customFormat="1" x14ac:dyDescent="0.25">
      <c r="A5871" s="10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  <c r="Q5871" s="11"/>
      <c r="R5871" s="11"/>
      <c r="S5871" s="11"/>
    </row>
    <row r="5872" spans="1:19" s="9" customFormat="1" x14ac:dyDescent="0.25">
      <c r="A5872" s="10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  <c r="Q5872" s="11"/>
      <c r="R5872" s="11"/>
      <c r="S5872" s="11"/>
    </row>
    <row r="5873" spans="1:19" s="9" customFormat="1" x14ac:dyDescent="0.25">
      <c r="A5873" s="10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  <c r="Q5873" s="11"/>
      <c r="R5873" s="11"/>
      <c r="S5873" s="11"/>
    </row>
    <row r="5874" spans="1:19" s="9" customFormat="1" x14ac:dyDescent="0.25">
      <c r="A5874" s="10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  <c r="Q5874" s="11"/>
      <c r="R5874" s="11"/>
      <c r="S5874" s="11"/>
    </row>
    <row r="5875" spans="1:19" s="9" customFormat="1" x14ac:dyDescent="0.25">
      <c r="A5875" s="10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  <c r="Q5875" s="11"/>
      <c r="R5875" s="11"/>
      <c r="S5875" s="11"/>
    </row>
    <row r="5876" spans="1:19" s="9" customFormat="1" x14ac:dyDescent="0.25">
      <c r="A5876" s="10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  <c r="Q5876" s="11"/>
      <c r="R5876" s="11"/>
      <c r="S5876" s="11"/>
    </row>
    <row r="5877" spans="1:19" s="9" customFormat="1" x14ac:dyDescent="0.25">
      <c r="A5877" s="10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  <c r="Q5877" s="11"/>
      <c r="R5877" s="11"/>
      <c r="S5877" s="11"/>
    </row>
    <row r="5878" spans="1:19" s="9" customFormat="1" x14ac:dyDescent="0.25">
      <c r="A5878" s="10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  <c r="Q5878" s="11"/>
      <c r="R5878" s="11"/>
      <c r="S5878" s="11"/>
    </row>
    <row r="5879" spans="1:19" s="9" customFormat="1" x14ac:dyDescent="0.25">
      <c r="A5879" s="10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  <c r="Q5879" s="11"/>
      <c r="R5879" s="11"/>
      <c r="S5879" s="11"/>
    </row>
    <row r="5880" spans="1:19" s="9" customFormat="1" x14ac:dyDescent="0.25">
      <c r="A5880" s="10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  <c r="Q5880" s="11"/>
      <c r="R5880" s="11"/>
      <c r="S5880" s="11"/>
    </row>
    <row r="5881" spans="1:19" s="9" customFormat="1" x14ac:dyDescent="0.25">
      <c r="A5881" s="10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  <c r="Q5881" s="11"/>
      <c r="R5881" s="11"/>
      <c r="S5881" s="11"/>
    </row>
    <row r="5882" spans="1:19" s="9" customFormat="1" x14ac:dyDescent="0.25">
      <c r="A5882" s="10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  <c r="Q5882" s="11"/>
      <c r="R5882" s="11"/>
      <c r="S5882" s="11"/>
    </row>
    <row r="5883" spans="1:19" s="9" customFormat="1" x14ac:dyDescent="0.25">
      <c r="A5883" s="10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  <c r="Q5883" s="11"/>
      <c r="R5883" s="11"/>
      <c r="S5883" s="11"/>
    </row>
    <row r="5884" spans="1:19" s="9" customFormat="1" x14ac:dyDescent="0.25">
      <c r="A5884" s="10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  <c r="Q5884" s="11"/>
      <c r="R5884" s="11"/>
      <c r="S5884" s="11"/>
    </row>
    <row r="5885" spans="1:19" s="9" customFormat="1" x14ac:dyDescent="0.25">
      <c r="A5885" s="10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  <c r="Q5885" s="11"/>
      <c r="R5885" s="11"/>
      <c r="S5885" s="11"/>
    </row>
    <row r="5886" spans="1:19" s="9" customFormat="1" x14ac:dyDescent="0.25">
      <c r="A5886" s="10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  <c r="Q5886" s="11"/>
      <c r="R5886" s="11"/>
      <c r="S5886" s="11"/>
    </row>
    <row r="5887" spans="1:19" s="9" customFormat="1" x14ac:dyDescent="0.25">
      <c r="A5887" s="10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  <c r="Q5887" s="11"/>
      <c r="R5887" s="11"/>
      <c r="S5887" s="11"/>
    </row>
    <row r="5888" spans="1:19" s="9" customFormat="1" x14ac:dyDescent="0.25">
      <c r="A5888" s="10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  <c r="Q5888" s="11"/>
      <c r="R5888" s="11"/>
      <c r="S5888" s="11"/>
    </row>
    <row r="5889" spans="1:19" s="9" customFormat="1" x14ac:dyDescent="0.25">
      <c r="A5889" s="10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  <c r="Q5889" s="11"/>
      <c r="R5889" s="11"/>
      <c r="S5889" s="11"/>
    </row>
    <row r="5890" spans="1:19" s="9" customFormat="1" x14ac:dyDescent="0.25">
      <c r="A5890" s="10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  <c r="Q5890" s="11"/>
      <c r="R5890" s="11"/>
      <c r="S5890" s="11"/>
    </row>
    <row r="5891" spans="1:19" s="9" customFormat="1" x14ac:dyDescent="0.25">
      <c r="A5891" s="10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  <c r="Q5891" s="11"/>
      <c r="R5891" s="11"/>
      <c r="S5891" s="11"/>
    </row>
    <row r="5892" spans="1:19" s="9" customFormat="1" x14ac:dyDescent="0.25">
      <c r="A5892" s="10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  <c r="Q5892" s="11"/>
      <c r="R5892" s="11"/>
      <c r="S5892" s="11"/>
    </row>
    <row r="5893" spans="1:19" s="9" customFormat="1" x14ac:dyDescent="0.25">
      <c r="A5893" s="10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  <c r="Q5893" s="11"/>
      <c r="R5893" s="11"/>
      <c r="S5893" s="11"/>
    </row>
    <row r="5894" spans="1:19" s="9" customFormat="1" x14ac:dyDescent="0.25">
      <c r="A5894" s="10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  <c r="Q5894" s="11"/>
      <c r="R5894" s="11"/>
      <c r="S5894" s="11"/>
    </row>
    <row r="5895" spans="1:19" s="9" customFormat="1" x14ac:dyDescent="0.25">
      <c r="A5895" s="10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  <c r="Q5895" s="11"/>
      <c r="R5895" s="11"/>
      <c r="S5895" s="11"/>
    </row>
    <row r="5896" spans="1:19" s="9" customFormat="1" x14ac:dyDescent="0.25">
      <c r="A5896" s="10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  <c r="Q5896" s="11"/>
      <c r="R5896" s="11"/>
      <c r="S5896" s="11"/>
    </row>
    <row r="5897" spans="1:19" s="9" customFormat="1" x14ac:dyDescent="0.25">
      <c r="A5897" s="10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  <c r="Q5897" s="11"/>
      <c r="R5897" s="11"/>
      <c r="S5897" s="11"/>
    </row>
    <row r="5898" spans="1:19" s="9" customFormat="1" x14ac:dyDescent="0.25">
      <c r="A5898" s="10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  <c r="Q5898" s="11"/>
      <c r="R5898" s="11"/>
      <c r="S5898" s="11"/>
    </row>
    <row r="5899" spans="1:19" s="9" customFormat="1" x14ac:dyDescent="0.25">
      <c r="A5899" s="10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  <c r="Q5899" s="11"/>
      <c r="R5899" s="11"/>
      <c r="S5899" s="11"/>
    </row>
    <row r="5900" spans="1:19" s="9" customFormat="1" x14ac:dyDescent="0.25">
      <c r="A5900" s="10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  <c r="Q5900" s="11"/>
      <c r="R5900" s="11"/>
      <c r="S5900" s="11"/>
    </row>
    <row r="5901" spans="1:19" s="9" customFormat="1" x14ac:dyDescent="0.25">
      <c r="A5901" s="10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  <c r="Q5901" s="11"/>
      <c r="R5901" s="11"/>
      <c r="S5901" s="11"/>
    </row>
    <row r="5902" spans="1:19" s="9" customFormat="1" x14ac:dyDescent="0.25">
      <c r="A5902" s="10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  <c r="Q5902" s="11"/>
      <c r="R5902" s="11"/>
      <c r="S5902" s="11"/>
    </row>
    <row r="5903" spans="1:19" s="9" customFormat="1" x14ac:dyDescent="0.25">
      <c r="A5903" s="10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  <c r="Q5903" s="11"/>
      <c r="R5903" s="11"/>
      <c r="S5903" s="11"/>
    </row>
    <row r="5904" spans="1:19" s="9" customFormat="1" x14ac:dyDescent="0.25">
      <c r="A5904" s="10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  <c r="Q5904" s="11"/>
      <c r="R5904" s="11"/>
      <c r="S5904" s="11"/>
    </row>
    <row r="5905" spans="1:19" s="9" customFormat="1" x14ac:dyDescent="0.25">
      <c r="A5905" s="10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  <c r="Q5905" s="11"/>
      <c r="R5905" s="11"/>
      <c r="S5905" s="11"/>
    </row>
    <row r="5906" spans="1:19" s="9" customFormat="1" x14ac:dyDescent="0.25">
      <c r="A5906" s="10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  <c r="Q5906" s="11"/>
      <c r="R5906" s="11"/>
      <c r="S5906" s="11"/>
    </row>
    <row r="5907" spans="1:19" s="9" customFormat="1" x14ac:dyDescent="0.25">
      <c r="A5907" s="10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  <c r="Q5907" s="11"/>
      <c r="R5907" s="11"/>
      <c r="S5907" s="11"/>
    </row>
    <row r="5908" spans="1:19" s="9" customFormat="1" x14ac:dyDescent="0.25">
      <c r="A5908" s="10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  <c r="Q5908" s="11"/>
      <c r="R5908" s="11"/>
      <c r="S5908" s="11"/>
    </row>
    <row r="5909" spans="1:19" s="9" customFormat="1" x14ac:dyDescent="0.25">
      <c r="A5909" s="10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  <c r="Q5909" s="11"/>
      <c r="R5909" s="11"/>
      <c r="S5909" s="11"/>
    </row>
    <row r="5910" spans="1:19" s="9" customFormat="1" x14ac:dyDescent="0.25">
      <c r="A5910" s="10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  <c r="Q5910" s="11"/>
      <c r="R5910" s="11"/>
      <c r="S5910" s="11"/>
    </row>
    <row r="5911" spans="1:19" s="9" customFormat="1" x14ac:dyDescent="0.25">
      <c r="A5911" s="10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  <c r="Q5911" s="11"/>
      <c r="R5911" s="11"/>
      <c r="S5911" s="11"/>
    </row>
    <row r="5912" spans="1:19" s="9" customFormat="1" x14ac:dyDescent="0.25">
      <c r="A5912" s="10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  <c r="Q5912" s="11"/>
      <c r="R5912" s="11"/>
      <c r="S5912" s="11"/>
    </row>
    <row r="5913" spans="1:19" s="9" customFormat="1" x14ac:dyDescent="0.25">
      <c r="A5913" s="10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  <c r="Q5913" s="11"/>
      <c r="R5913" s="11"/>
      <c r="S5913" s="11"/>
    </row>
    <row r="5914" spans="1:19" s="9" customFormat="1" x14ac:dyDescent="0.25">
      <c r="A5914" s="10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  <c r="Q5914" s="11"/>
      <c r="R5914" s="11"/>
      <c r="S5914" s="11"/>
    </row>
    <row r="5915" spans="1:19" s="9" customFormat="1" x14ac:dyDescent="0.25">
      <c r="A5915" s="10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  <c r="Q5915" s="11"/>
      <c r="R5915" s="11"/>
      <c r="S5915" s="11"/>
    </row>
    <row r="5916" spans="1:19" s="9" customFormat="1" x14ac:dyDescent="0.25">
      <c r="A5916" s="10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  <c r="Q5916" s="11"/>
      <c r="R5916" s="11"/>
      <c r="S5916" s="11"/>
    </row>
    <row r="5917" spans="1:19" s="9" customFormat="1" x14ac:dyDescent="0.25">
      <c r="A5917" s="10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  <c r="Q5917" s="11"/>
      <c r="R5917" s="11"/>
      <c r="S5917" s="11"/>
    </row>
    <row r="5918" spans="1:19" s="9" customFormat="1" x14ac:dyDescent="0.25">
      <c r="A5918" s="10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  <c r="Q5918" s="11"/>
      <c r="R5918" s="11"/>
      <c r="S5918" s="11"/>
    </row>
    <row r="5919" spans="1:19" s="9" customFormat="1" x14ac:dyDescent="0.25">
      <c r="A5919" s="10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  <c r="Q5919" s="11"/>
      <c r="R5919" s="11"/>
      <c r="S5919" s="11"/>
    </row>
    <row r="5920" spans="1:19" s="9" customFormat="1" x14ac:dyDescent="0.25">
      <c r="A5920" s="10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  <c r="Q5920" s="11"/>
      <c r="R5920" s="11"/>
      <c r="S5920" s="11"/>
    </row>
    <row r="5921" spans="1:19" s="9" customFormat="1" x14ac:dyDescent="0.25">
      <c r="A5921" s="10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  <c r="Q5921" s="11"/>
      <c r="R5921" s="11"/>
      <c r="S5921" s="11"/>
    </row>
    <row r="5922" spans="1:19" s="9" customFormat="1" x14ac:dyDescent="0.25">
      <c r="A5922" s="10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  <c r="Q5922" s="11"/>
      <c r="R5922" s="11"/>
      <c r="S5922" s="11"/>
    </row>
    <row r="5923" spans="1:19" s="9" customFormat="1" x14ac:dyDescent="0.25">
      <c r="A5923" s="10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  <c r="Q5923" s="11"/>
      <c r="R5923" s="11"/>
      <c r="S5923" s="11"/>
    </row>
    <row r="5924" spans="1:19" s="9" customFormat="1" x14ac:dyDescent="0.25">
      <c r="A5924" s="10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  <c r="Q5924" s="11"/>
      <c r="R5924" s="11"/>
      <c r="S5924" s="11"/>
    </row>
    <row r="5925" spans="1:19" s="9" customFormat="1" x14ac:dyDescent="0.25">
      <c r="A5925" s="10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  <c r="Q5925" s="11"/>
      <c r="R5925" s="11"/>
      <c r="S5925" s="11"/>
    </row>
    <row r="5926" spans="1:19" s="9" customFormat="1" x14ac:dyDescent="0.25">
      <c r="A5926" s="10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  <c r="Q5926" s="11"/>
      <c r="R5926" s="11"/>
      <c r="S5926" s="11"/>
    </row>
    <row r="5927" spans="1:19" s="9" customFormat="1" x14ac:dyDescent="0.25">
      <c r="A5927" s="10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  <c r="Q5927" s="11"/>
      <c r="R5927" s="11"/>
      <c r="S5927" s="11"/>
    </row>
    <row r="5928" spans="1:19" s="9" customFormat="1" x14ac:dyDescent="0.25">
      <c r="A5928" s="10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  <c r="Q5928" s="11"/>
      <c r="R5928" s="11"/>
      <c r="S5928" s="11"/>
    </row>
    <row r="5929" spans="1:19" s="9" customFormat="1" x14ac:dyDescent="0.25">
      <c r="A5929" s="10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  <c r="Q5929" s="11"/>
      <c r="R5929" s="11"/>
      <c r="S5929" s="11"/>
    </row>
    <row r="5930" spans="1:19" s="9" customFormat="1" x14ac:dyDescent="0.25">
      <c r="A5930" s="10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  <c r="Q5930" s="11"/>
      <c r="R5930" s="11"/>
      <c r="S5930" s="11"/>
    </row>
    <row r="5931" spans="1:19" s="9" customFormat="1" x14ac:dyDescent="0.25">
      <c r="A5931" s="10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  <c r="Q5931" s="11"/>
      <c r="R5931" s="11"/>
      <c r="S5931" s="11"/>
    </row>
    <row r="5932" spans="1:19" s="9" customFormat="1" x14ac:dyDescent="0.25">
      <c r="A5932" s="10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  <c r="Q5932" s="11"/>
      <c r="R5932" s="11"/>
      <c r="S5932" s="11"/>
    </row>
    <row r="5933" spans="1:19" s="9" customFormat="1" x14ac:dyDescent="0.25">
      <c r="A5933" s="10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  <c r="Q5933" s="11"/>
      <c r="R5933" s="11"/>
      <c r="S5933" s="11"/>
    </row>
    <row r="5934" spans="1:19" s="9" customFormat="1" x14ac:dyDescent="0.25">
      <c r="A5934" s="10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  <c r="Q5934" s="11"/>
      <c r="R5934" s="11"/>
      <c r="S5934" s="11"/>
    </row>
    <row r="5935" spans="1:19" s="9" customFormat="1" x14ac:dyDescent="0.25">
      <c r="A5935" s="10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  <c r="Q5935" s="11"/>
      <c r="R5935" s="11"/>
      <c r="S5935" s="11"/>
    </row>
    <row r="5936" spans="1:19" s="9" customFormat="1" x14ac:dyDescent="0.25">
      <c r="A5936" s="10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  <c r="Q5936" s="11"/>
      <c r="R5936" s="11"/>
      <c r="S5936" s="11"/>
    </row>
    <row r="5937" spans="1:19" s="9" customFormat="1" x14ac:dyDescent="0.25">
      <c r="A5937" s="10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  <c r="Q5937" s="11"/>
      <c r="R5937" s="11"/>
      <c r="S5937" s="11"/>
    </row>
    <row r="5938" spans="1:19" s="9" customFormat="1" x14ac:dyDescent="0.25">
      <c r="A5938" s="10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  <c r="Q5938" s="11"/>
      <c r="R5938" s="11"/>
      <c r="S5938" s="11"/>
    </row>
    <row r="5939" spans="1:19" s="9" customFormat="1" x14ac:dyDescent="0.25">
      <c r="A5939" s="10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  <c r="Q5939" s="11"/>
      <c r="R5939" s="11"/>
      <c r="S5939" s="11"/>
    </row>
    <row r="5940" spans="1:19" s="9" customFormat="1" x14ac:dyDescent="0.25">
      <c r="A5940" s="10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  <c r="Q5940" s="11"/>
      <c r="R5940" s="11"/>
      <c r="S5940" s="11"/>
    </row>
    <row r="5941" spans="1:19" s="9" customFormat="1" x14ac:dyDescent="0.25">
      <c r="A5941" s="10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  <c r="Q5941" s="11"/>
      <c r="R5941" s="11"/>
      <c r="S5941" s="11"/>
    </row>
    <row r="5942" spans="1:19" s="9" customFormat="1" x14ac:dyDescent="0.25">
      <c r="A5942" s="10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  <c r="Q5942" s="11"/>
      <c r="R5942" s="11"/>
      <c r="S5942" s="11"/>
    </row>
    <row r="5943" spans="1:19" s="9" customFormat="1" x14ac:dyDescent="0.25">
      <c r="A5943" s="10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  <c r="Q5943" s="11"/>
      <c r="R5943" s="11"/>
      <c r="S5943" s="11"/>
    </row>
    <row r="5944" spans="1:19" s="9" customFormat="1" x14ac:dyDescent="0.25">
      <c r="A5944" s="10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  <c r="Q5944" s="11"/>
      <c r="R5944" s="11"/>
      <c r="S5944" s="11"/>
    </row>
    <row r="5945" spans="1:19" s="9" customFormat="1" x14ac:dyDescent="0.25">
      <c r="A5945" s="10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  <c r="Q5945" s="11"/>
      <c r="R5945" s="11"/>
      <c r="S5945" s="11"/>
    </row>
    <row r="5946" spans="1:19" s="9" customFormat="1" x14ac:dyDescent="0.25">
      <c r="A5946" s="10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  <c r="Q5946" s="11"/>
      <c r="R5946" s="11"/>
      <c r="S5946" s="11"/>
    </row>
    <row r="5947" spans="1:19" s="9" customFormat="1" x14ac:dyDescent="0.25">
      <c r="A5947" s="10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  <c r="Q5947" s="11"/>
      <c r="R5947" s="11"/>
      <c r="S5947" s="11"/>
    </row>
    <row r="5948" spans="1:19" s="9" customFormat="1" x14ac:dyDescent="0.25">
      <c r="A5948" s="10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  <c r="Q5948" s="11"/>
      <c r="R5948" s="11"/>
      <c r="S5948" s="11"/>
    </row>
    <row r="5949" spans="1:19" s="9" customFormat="1" x14ac:dyDescent="0.25">
      <c r="A5949" s="10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  <c r="Q5949" s="11"/>
      <c r="R5949" s="11"/>
      <c r="S5949" s="11"/>
    </row>
    <row r="5950" spans="1:19" s="9" customFormat="1" x14ac:dyDescent="0.25">
      <c r="A5950" s="10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  <c r="Q5950" s="11"/>
      <c r="R5950" s="11"/>
      <c r="S5950" s="11"/>
    </row>
    <row r="5951" spans="1:19" s="9" customFormat="1" x14ac:dyDescent="0.25">
      <c r="A5951" s="10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  <c r="Q5951" s="11"/>
      <c r="R5951" s="11"/>
      <c r="S5951" s="11"/>
    </row>
    <row r="5952" spans="1:19" s="9" customFormat="1" x14ac:dyDescent="0.25">
      <c r="A5952" s="10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  <c r="Q5952" s="11"/>
      <c r="R5952" s="11"/>
      <c r="S5952" s="11"/>
    </row>
    <row r="5953" spans="1:19" s="9" customFormat="1" x14ac:dyDescent="0.25">
      <c r="A5953" s="10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  <c r="Q5953" s="11"/>
      <c r="R5953" s="11"/>
      <c r="S5953" s="11"/>
    </row>
    <row r="5954" spans="1:19" s="9" customFormat="1" x14ac:dyDescent="0.25">
      <c r="A5954" s="10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  <c r="Q5954" s="11"/>
      <c r="R5954" s="11"/>
      <c r="S5954" s="11"/>
    </row>
    <row r="5955" spans="1:19" s="9" customFormat="1" x14ac:dyDescent="0.25">
      <c r="A5955" s="10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  <c r="Q5955" s="11"/>
      <c r="R5955" s="11"/>
      <c r="S5955" s="11"/>
    </row>
    <row r="5956" spans="1:19" s="9" customFormat="1" x14ac:dyDescent="0.25">
      <c r="A5956" s="10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  <c r="Q5956" s="11"/>
      <c r="R5956" s="11"/>
      <c r="S5956" s="11"/>
    </row>
    <row r="5957" spans="1:19" s="9" customFormat="1" x14ac:dyDescent="0.25">
      <c r="A5957" s="10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  <c r="Q5957" s="11"/>
      <c r="R5957" s="11"/>
      <c r="S5957" s="11"/>
    </row>
    <row r="5958" spans="1:19" s="9" customFormat="1" x14ac:dyDescent="0.25">
      <c r="A5958" s="10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  <c r="Q5958" s="11"/>
      <c r="R5958" s="11"/>
      <c r="S5958" s="11"/>
    </row>
    <row r="5959" spans="1:19" s="9" customFormat="1" x14ac:dyDescent="0.25">
      <c r="A5959" s="10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  <c r="Q5959" s="11"/>
      <c r="R5959" s="11"/>
      <c r="S5959" s="11"/>
    </row>
    <row r="5960" spans="1:19" s="9" customFormat="1" x14ac:dyDescent="0.25">
      <c r="A5960" s="10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  <c r="Q5960" s="11"/>
      <c r="R5960" s="11"/>
      <c r="S5960" s="11"/>
    </row>
    <row r="5961" spans="1:19" s="9" customFormat="1" x14ac:dyDescent="0.25">
      <c r="A5961" s="10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  <c r="Q5961" s="11"/>
      <c r="R5961" s="11"/>
      <c r="S5961" s="11"/>
    </row>
    <row r="5962" spans="1:19" s="9" customFormat="1" x14ac:dyDescent="0.25">
      <c r="A5962" s="10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  <c r="Q5962" s="11"/>
      <c r="R5962" s="11"/>
      <c r="S5962" s="11"/>
    </row>
    <row r="5963" spans="1:19" s="9" customFormat="1" x14ac:dyDescent="0.25">
      <c r="A5963" s="10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  <c r="Q5963" s="11"/>
      <c r="R5963" s="11"/>
      <c r="S5963" s="11"/>
    </row>
    <row r="5964" spans="1:19" s="9" customFormat="1" x14ac:dyDescent="0.25">
      <c r="A5964" s="10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  <c r="Q5964" s="11"/>
      <c r="R5964" s="11"/>
      <c r="S5964" s="11"/>
    </row>
    <row r="5965" spans="1:19" s="9" customFormat="1" x14ac:dyDescent="0.25">
      <c r="A5965" s="10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  <c r="Q5965" s="11"/>
      <c r="R5965" s="11"/>
      <c r="S5965" s="11"/>
    </row>
    <row r="5966" spans="1:19" s="9" customFormat="1" x14ac:dyDescent="0.25">
      <c r="A5966" s="10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  <c r="Q5966" s="11"/>
      <c r="R5966" s="11"/>
      <c r="S5966" s="11"/>
    </row>
    <row r="5967" spans="1:19" s="9" customFormat="1" x14ac:dyDescent="0.25">
      <c r="A5967" s="10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  <c r="Q5967" s="11"/>
      <c r="R5967" s="11"/>
      <c r="S5967" s="11"/>
    </row>
    <row r="5968" spans="1:19" s="9" customFormat="1" x14ac:dyDescent="0.25">
      <c r="A5968" s="10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  <c r="Q5968" s="11"/>
      <c r="R5968" s="11"/>
      <c r="S5968" s="11"/>
    </row>
    <row r="5969" spans="1:19" s="9" customFormat="1" x14ac:dyDescent="0.25">
      <c r="A5969" s="10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  <c r="Q5969" s="11"/>
      <c r="R5969" s="11"/>
      <c r="S5969" s="11"/>
    </row>
    <row r="5970" spans="1:19" s="9" customFormat="1" x14ac:dyDescent="0.25">
      <c r="A5970" s="10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  <c r="Q5970" s="11"/>
      <c r="R5970" s="11"/>
      <c r="S5970" s="11"/>
    </row>
    <row r="5971" spans="1:19" s="9" customFormat="1" x14ac:dyDescent="0.25">
      <c r="A5971" s="10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  <c r="Q5971" s="11"/>
      <c r="R5971" s="11"/>
      <c r="S5971" s="11"/>
    </row>
    <row r="5972" spans="1:19" s="9" customFormat="1" x14ac:dyDescent="0.25">
      <c r="A5972" s="10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  <c r="Q5972" s="11"/>
      <c r="R5972" s="11"/>
      <c r="S5972" s="11"/>
    </row>
    <row r="5973" spans="1:19" s="9" customFormat="1" x14ac:dyDescent="0.25">
      <c r="A5973" s="10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  <c r="Q5973" s="11"/>
      <c r="R5973" s="11"/>
      <c r="S5973" s="11"/>
    </row>
    <row r="5974" spans="1:19" s="9" customFormat="1" x14ac:dyDescent="0.25">
      <c r="A5974" s="10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  <c r="Q5974" s="11"/>
      <c r="R5974" s="11"/>
      <c r="S5974" s="11"/>
    </row>
    <row r="5975" spans="1:19" s="9" customFormat="1" x14ac:dyDescent="0.25">
      <c r="A5975" s="10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  <c r="Q5975" s="11"/>
      <c r="R5975" s="11"/>
      <c r="S5975" s="11"/>
    </row>
    <row r="5976" spans="1:19" s="9" customFormat="1" x14ac:dyDescent="0.25">
      <c r="A5976" s="10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  <c r="Q5976" s="11"/>
      <c r="R5976" s="11"/>
      <c r="S5976" s="11"/>
    </row>
    <row r="5977" spans="1:19" s="9" customFormat="1" x14ac:dyDescent="0.25">
      <c r="A5977" s="10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  <c r="Q5977" s="11"/>
      <c r="R5977" s="11"/>
      <c r="S5977" s="11"/>
    </row>
    <row r="5978" spans="1:19" s="9" customFormat="1" x14ac:dyDescent="0.25">
      <c r="A5978" s="10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  <c r="Q5978" s="11"/>
      <c r="R5978" s="11"/>
      <c r="S5978" s="11"/>
    </row>
    <row r="5979" spans="1:19" s="9" customFormat="1" x14ac:dyDescent="0.25">
      <c r="A5979" s="10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  <c r="Q5979" s="11"/>
      <c r="R5979" s="11"/>
      <c r="S5979" s="11"/>
    </row>
    <row r="5980" spans="1:19" s="9" customFormat="1" x14ac:dyDescent="0.25">
      <c r="A5980" s="10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  <c r="Q5980" s="11"/>
      <c r="R5980" s="11"/>
      <c r="S5980" s="11"/>
    </row>
    <row r="5981" spans="1:19" s="9" customFormat="1" x14ac:dyDescent="0.25">
      <c r="A5981" s="10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  <c r="Q5981" s="11"/>
      <c r="R5981" s="11"/>
      <c r="S5981" s="11"/>
    </row>
    <row r="5982" spans="1:19" s="9" customFormat="1" x14ac:dyDescent="0.25">
      <c r="A5982" s="10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  <c r="Q5982" s="11"/>
      <c r="R5982" s="11"/>
      <c r="S5982" s="11"/>
    </row>
    <row r="5983" spans="1:19" s="9" customFormat="1" x14ac:dyDescent="0.25">
      <c r="A5983" s="10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  <c r="Q5983" s="11"/>
      <c r="R5983" s="11"/>
      <c r="S5983" s="11"/>
    </row>
    <row r="5984" spans="1:19" s="9" customFormat="1" x14ac:dyDescent="0.25">
      <c r="A5984" s="10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  <c r="Q5984" s="11"/>
      <c r="R5984" s="11"/>
      <c r="S5984" s="11"/>
    </row>
    <row r="5985" spans="1:19" s="9" customFormat="1" x14ac:dyDescent="0.25">
      <c r="A5985" s="10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  <c r="Q5985" s="11"/>
      <c r="R5985" s="11"/>
      <c r="S5985" s="11"/>
    </row>
    <row r="5986" spans="1:19" s="9" customFormat="1" x14ac:dyDescent="0.25">
      <c r="A5986" s="10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  <c r="Q5986" s="11"/>
      <c r="R5986" s="11"/>
      <c r="S5986" s="11"/>
    </row>
    <row r="5987" spans="1:19" s="9" customFormat="1" x14ac:dyDescent="0.25">
      <c r="A5987" s="10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  <c r="Q5987" s="11"/>
      <c r="R5987" s="11"/>
      <c r="S5987" s="11"/>
    </row>
    <row r="5988" spans="1:19" s="9" customFormat="1" x14ac:dyDescent="0.25">
      <c r="A5988" s="10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  <c r="Q5988" s="11"/>
      <c r="R5988" s="11"/>
      <c r="S5988" s="11"/>
    </row>
    <row r="5989" spans="1:19" s="9" customFormat="1" x14ac:dyDescent="0.25">
      <c r="A5989" s="10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  <c r="Q5989" s="11"/>
      <c r="R5989" s="11"/>
      <c r="S5989" s="11"/>
    </row>
    <row r="5990" spans="1:19" s="9" customFormat="1" x14ac:dyDescent="0.25">
      <c r="A5990" s="10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  <c r="Q5990" s="11"/>
      <c r="R5990" s="11"/>
      <c r="S5990" s="11"/>
    </row>
    <row r="5991" spans="1:19" s="9" customFormat="1" x14ac:dyDescent="0.25">
      <c r="A5991" s="10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  <c r="Q5991" s="11"/>
      <c r="R5991" s="11"/>
      <c r="S5991" s="11"/>
    </row>
    <row r="5992" spans="1:19" s="9" customFormat="1" x14ac:dyDescent="0.25">
      <c r="A5992" s="10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  <c r="Q5992" s="11"/>
      <c r="R5992" s="11"/>
      <c r="S5992" s="11"/>
    </row>
    <row r="5993" spans="1:19" s="9" customFormat="1" x14ac:dyDescent="0.25">
      <c r="A5993" s="10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  <c r="Q5993" s="11"/>
      <c r="R5993" s="11"/>
      <c r="S5993" s="11"/>
    </row>
    <row r="5994" spans="1:19" s="9" customFormat="1" x14ac:dyDescent="0.25">
      <c r="A5994" s="10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  <c r="Q5994" s="11"/>
      <c r="R5994" s="11"/>
      <c r="S5994" s="11"/>
    </row>
    <row r="5995" spans="1:19" s="9" customFormat="1" x14ac:dyDescent="0.25">
      <c r="A5995" s="10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  <c r="Q5995" s="11"/>
      <c r="R5995" s="11"/>
      <c r="S5995" s="11"/>
    </row>
    <row r="5996" spans="1:19" s="9" customFormat="1" x14ac:dyDescent="0.25">
      <c r="A5996" s="10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  <c r="Q5996" s="11"/>
      <c r="R5996" s="11"/>
      <c r="S5996" s="11"/>
    </row>
    <row r="5997" spans="1:19" s="9" customFormat="1" x14ac:dyDescent="0.25">
      <c r="A5997" s="10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  <c r="Q5997" s="11"/>
      <c r="R5997" s="11"/>
      <c r="S5997" s="11"/>
    </row>
    <row r="5998" spans="1:19" s="9" customFormat="1" x14ac:dyDescent="0.25">
      <c r="A5998" s="10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  <c r="Q5998" s="11"/>
      <c r="R5998" s="11"/>
      <c r="S5998" s="11"/>
    </row>
    <row r="5999" spans="1:19" s="9" customFormat="1" x14ac:dyDescent="0.25">
      <c r="A5999" s="10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  <c r="Q5999" s="11"/>
      <c r="R5999" s="11"/>
      <c r="S5999" s="11"/>
    </row>
    <row r="6000" spans="1:19" s="9" customFormat="1" x14ac:dyDescent="0.25">
      <c r="A6000" s="10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  <c r="Q6000" s="11"/>
      <c r="R6000" s="11"/>
      <c r="S6000" s="11"/>
    </row>
    <row r="6001" spans="1:19" s="9" customFormat="1" x14ac:dyDescent="0.25">
      <c r="A6001" s="10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  <c r="Q6001" s="11"/>
      <c r="R6001" s="11"/>
      <c r="S6001" s="11"/>
    </row>
    <row r="6002" spans="1:19" s="9" customFormat="1" x14ac:dyDescent="0.25">
      <c r="A6002" s="10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  <c r="Q6002" s="11"/>
      <c r="R6002" s="11"/>
      <c r="S6002" s="11"/>
    </row>
    <row r="6003" spans="1:19" s="9" customFormat="1" x14ac:dyDescent="0.25">
      <c r="A6003" s="10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  <c r="Q6003" s="11"/>
      <c r="R6003" s="11"/>
      <c r="S6003" s="11"/>
    </row>
    <row r="6004" spans="1:19" s="9" customFormat="1" x14ac:dyDescent="0.25">
      <c r="A6004" s="10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  <c r="Q6004" s="11"/>
      <c r="R6004" s="11"/>
      <c r="S6004" s="11"/>
    </row>
    <row r="6005" spans="1:19" s="9" customFormat="1" x14ac:dyDescent="0.25">
      <c r="A6005" s="10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  <c r="Q6005" s="11"/>
      <c r="R6005" s="11"/>
      <c r="S6005" s="11"/>
    </row>
    <row r="6006" spans="1:19" s="9" customFormat="1" x14ac:dyDescent="0.25">
      <c r="A6006" s="10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  <c r="Q6006" s="11"/>
      <c r="R6006" s="11"/>
      <c r="S6006" s="11"/>
    </row>
    <row r="6007" spans="1:19" s="9" customFormat="1" x14ac:dyDescent="0.25">
      <c r="A6007" s="10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  <c r="Q6007" s="11"/>
      <c r="R6007" s="11"/>
      <c r="S6007" s="11"/>
    </row>
    <row r="6008" spans="1:19" s="9" customFormat="1" x14ac:dyDescent="0.25">
      <c r="A6008" s="10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  <c r="Q6008" s="11"/>
      <c r="R6008" s="11"/>
      <c r="S6008" s="11"/>
    </row>
    <row r="6009" spans="1:19" s="9" customFormat="1" x14ac:dyDescent="0.25">
      <c r="A6009" s="10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  <c r="Q6009" s="11"/>
      <c r="R6009" s="11"/>
      <c r="S6009" s="11"/>
    </row>
    <row r="6010" spans="1:19" s="9" customFormat="1" x14ac:dyDescent="0.25">
      <c r="A6010" s="10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  <c r="Q6010" s="11"/>
      <c r="R6010" s="11"/>
      <c r="S6010" s="11"/>
    </row>
    <row r="6011" spans="1:19" s="9" customFormat="1" x14ac:dyDescent="0.25">
      <c r="A6011" s="10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  <c r="Q6011" s="11"/>
      <c r="R6011" s="11"/>
      <c r="S6011" s="11"/>
    </row>
    <row r="6012" spans="1:19" s="9" customFormat="1" x14ac:dyDescent="0.25">
      <c r="A6012" s="10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  <c r="Q6012" s="11"/>
      <c r="R6012" s="11"/>
      <c r="S6012" s="11"/>
    </row>
    <row r="6013" spans="1:19" s="9" customFormat="1" x14ac:dyDescent="0.25">
      <c r="A6013" s="10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  <c r="Q6013" s="11"/>
      <c r="R6013" s="11"/>
      <c r="S6013" s="11"/>
    </row>
    <row r="6014" spans="1:19" s="9" customFormat="1" x14ac:dyDescent="0.25">
      <c r="A6014" s="10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  <c r="Q6014" s="11"/>
      <c r="R6014" s="11"/>
      <c r="S6014" s="11"/>
    </row>
    <row r="6015" spans="1:19" s="9" customFormat="1" x14ac:dyDescent="0.25">
      <c r="A6015" s="10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  <c r="Q6015" s="11"/>
      <c r="R6015" s="11"/>
      <c r="S6015" s="11"/>
    </row>
    <row r="6016" spans="1:19" s="9" customFormat="1" x14ac:dyDescent="0.25">
      <c r="A6016" s="10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  <c r="Q6016" s="11"/>
      <c r="R6016" s="11"/>
      <c r="S6016" s="11"/>
    </row>
    <row r="6017" spans="1:19" s="9" customFormat="1" x14ac:dyDescent="0.25">
      <c r="A6017" s="10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  <c r="Q6017" s="11"/>
      <c r="R6017" s="11"/>
      <c r="S6017" s="11"/>
    </row>
    <row r="6018" spans="1:19" s="9" customFormat="1" x14ac:dyDescent="0.25">
      <c r="A6018" s="10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  <c r="Q6018" s="11"/>
      <c r="R6018" s="11"/>
      <c r="S6018" s="11"/>
    </row>
    <row r="6019" spans="1:19" s="9" customFormat="1" x14ac:dyDescent="0.25">
      <c r="A6019" s="10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  <c r="Q6019" s="11"/>
      <c r="R6019" s="11"/>
      <c r="S6019" s="11"/>
    </row>
    <row r="6020" spans="1:19" s="9" customFormat="1" x14ac:dyDescent="0.25">
      <c r="A6020" s="10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  <c r="Q6020" s="11"/>
      <c r="R6020" s="11"/>
      <c r="S6020" s="11"/>
    </row>
    <row r="6021" spans="1:19" s="9" customFormat="1" x14ac:dyDescent="0.25">
      <c r="A6021" s="10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  <c r="Q6021" s="11"/>
      <c r="R6021" s="11"/>
      <c r="S6021" s="11"/>
    </row>
    <row r="6022" spans="1:19" s="9" customFormat="1" x14ac:dyDescent="0.25">
      <c r="A6022" s="10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  <c r="Q6022" s="11"/>
      <c r="R6022" s="11"/>
      <c r="S6022" s="11"/>
    </row>
    <row r="6023" spans="1:19" s="9" customFormat="1" x14ac:dyDescent="0.25">
      <c r="A6023" s="10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  <c r="Q6023" s="11"/>
      <c r="R6023" s="11"/>
      <c r="S6023" s="11"/>
    </row>
    <row r="6024" spans="1:19" s="9" customFormat="1" x14ac:dyDescent="0.25">
      <c r="A6024" s="10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  <c r="Q6024" s="11"/>
      <c r="R6024" s="11"/>
      <c r="S6024" s="11"/>
    </row>
    <row r="6025" spans="1:19" s="9" customFormat="1" x14ac:dyDescent="0.25">
      <c r="A6025" s="10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  <c r="Q6025" s="11"/>
      <c r="R6025" s="11"/>
      <c r="S6025" s="11"/>
    </row>
    <row r="6026" spans="1:19" s="9" customFormat="1" x14ac:dyDescent="0.25">
      <c r="A6026" s="10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  <c r="Q6026" s="11"/>
      <c r="R6026" s="11"/>
      <c r="S6026" s="11"/>
    </row>
    <row r="6027" spans="1:19" s="9" customFormat="1" x14ac:dyDescent="0.25">
      <c r="A6027" s="10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  <c r="Q6027" s="11"/>
      <c r="R6027" s="11"/>
      <c r="S6027" s="11"/>
    </row>
    <row r="6028" spans="1:19" s="9" customFormat="1" x14ac:dyDescent="0.25">
      <c r="A6028" s="10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  <c r="Q6028" s="11"/>
      <c r="R6028" s="11"/>
      <c r="S6028" s="11"/>
    </row>
    <row r="6029" spans="1:19" s="9" customFormat="1" x14ac:dyDescent="0.25">
      <c r="A6029" s="10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  <c r="Q6029" s="11"/>
      <c r="R6029" s="11"/>
      <c r="S6029" s="11"/>
    </row>
    <row r="6030" spans="1:19" s="9" customFormat="1" x14ac:dyDescent="0.25">
      <c r="A6030" s="10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  <c r="Q6030" s="11"/>
      <c r="R6030" s="11"/>
      <c r="S6030" s="11"/>
    </row>
    <row r="6031" spans="1:19" s="9" customFormat="1" x14ac:dyDescent="0.25">
      <c r="A6031" s="10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  <c r="Q6031" s="11"/>
      <c r="R6031" s="11"/>
      <c r="S6031" s="11"/>
    </row>
    <row r="6032" spans="1:19" s="9" customFormat="1" x14ac:dyDescent="0.25">
      <c r="A6032" s="10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  <c r="Q6032" s="11"/>
      <c r="R6032" s="11"/>
      <c r="S6032" s="11"/>
    </row>
    <row r="6033" spans="1:19" s="9" customFormat="1" x14ac:dyDescent="0.25">
      <c r="A6033" s="10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  <c r="Q6033" s="11"/>
      <c r="R6033" s="11"/>
      <c r="S6033" s="11"/>
    </row>
    <row r="6034" spans="1:19" s="9" customFormat="1" x14ac:dyDescent="0.25">
      <c r="A6034" s="10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  <c r="Q6034" s="11"/>
      <c r="R6034" s="11"/>
      <c r="S6034" s="11"/>
    </row>
    <row r="6035" spans="1:19" s="9" customFormat="1" x14ac:dyDescent="0.25">
      <c r="A6035" s="10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  <c r="Q6035" s="11"/>
      <c r="R6035" s="11"/>
      <c r="S6035" s="11"/>
    </row>
    <row r="6036" spans="1:19" s="9" customFormat="1" x14ac:dyDescent="0.25">
      <c r="A6036" s="10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  <c r="Q6036" s="11"/>
      <c r="R6036" s="11"/>
      <c r="S6036" s="11"/>
    </row>
    <row r="6037" spans="1:19" s="9" customFormat="1" x14ac:dyDescent="0.25">
      <c r="A6037" s="10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  <c r="Q6037" s="11"/>
      <c r="R6037" s="11"/>
      <c r="S6037" s="11"/>
    </row>
    <row r="6038" spans="1:19" s="9" customFormat="1" x14ac:dyDescent="0.25">
      <c r="A6038" s="10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  <c r="Q6038" s="11"/>
      <c r="R6038" s="11"/>
      <c r="S6038" s="11"/>
    </row>
    <row r="6039" spans="1:19" s="9" customFormat="1" x14ac:dyDescent="0.25">
      <c r="A6039" s="10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  <c r="Q6039" s="11"/>
      <c r="R6039" s="11"/>
      <c r="S6039" s="11"/>
    </row>
    <row r="6040" spans="1:19" s="9" customFormat="1" x14ac:dyDescent="0.25">
      <c r="A6040" s="10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  <c r="Q6040" s="11"/>
      <c r="R6040" s="11"/>
      <c r="S6040" s="11"/>
    </row>
    <row r="6041" spans="1:19" s="9" customFormat="1" x14ac:dyDescent="0.25">
      <c r="A6041" s="10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  <c r="Q6041" s="11"/>
      <c r="R6041" s="11"/>
      <c r="S6041" s="11"/>
    </row>
    <row r="6042" spans="1:19" s="9" customFormat="1" x14ac:dyDescent="0.25">
      <c r="A6042" s="10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  <c r="Q6042" s="11"/>
      <c r="R6042" s="11"/>
      <c r="S6042" s="11"/>
    </row>
    <row r="6043" spans="1:19" s="9" customFormat="1" x14ac:dyDescent="0.25">
      <c r="A6043" s="10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  <c r="Q6043" s="11"/>
      <c r="R6043" s="11"/>
      <c r="S6043" s="11"/>
    </row>
    <row r="6044" spans="1:19" s="9" customFormat="1" x14ac:dyDescent="0.25">
      <c r="A6044" s="10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  <c r="Q6044" s="11"/>
      <c r="R6044" s="11"/>
      <c r="S6044" s="11"/>
    </row>
    <row r="6045" spans="1:19" s="9" customFormat="1" x14ac:dyDescent="0.25">
      <c r="A6045" s="10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  <c r="Q6045" s="11"/>
      <c r="R6045" s="11"/>
      <c r="S6045" s="11"/>
    </row>
    <row r="6046" spans="1:19" s="9" customFormat="1" x14ac:dyDescent="0.25">
      <c r="A6046" s="10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  <c r="Q6046" s="11"/>
      <c r="R6046" s="11"/>
      <c r="S6046" s="11"/>
    </row>
    <row r="6047" spans="1:19" s="9" customFormat="1" x14ac:dyDescent="0.25">
      <c r="A6047" s="10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  <c r="Q6047" s="11"/>
      <c r="R6047" s="11"/>
      <c r="S6047" s="11"/>
    </row>
    <row r="6048" spans="1:19" s="9" customFormat="1" x14ac:dyDescent="0.25">
      <c r="A6048" s="10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  <c r="Q6048" s="11"/>
      <c r="R6048" s="11"/>
      <c r="S6048" s="11"/>
    </row>
    <row r="6049" spans="1:19" s="9" customFormat="1" x14ac:dyDescent="0.25">
      <c r="A6049" s="10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  <c r="Q6049" s="11"/>
      <c r="R6049" s="11"/>
      <c r="S6049" s="11"/>
    </row>
    <row r="6050" spans="1:19" s="9" customFormat="1" x14ac:dyDescent="0.25">
      <c r="A6050" s="10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  <c r="Q6050" s="11"/>
      <c r="R6050" s="11"/>
      <c r="S6050" s="11"/>
    </row>
    <row r="6051" spans="1:19" s="9" customFormat="1" x14ac:dyDescent="0.25">
      <c r="A6051" s="10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  <c r="Q6051" s="11"/>
      <c r="R6051" s="11"/>
      <c r="S6051" s="11"/>
    </row>
    <row r="6052" spans="1:19" s="9" customFormat="1" x14ac:dyDescent="0.25">
      <c r="A6052" s="10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  <c r="Q6052" s="11"/>
      <c r="R6052" s="11"/>
      <c r="S6052" s="11"/>
    </row>
    <row r="6053" spans="1:19" s="9" customFormat="1" x14ac:dyDescent="0.25">
      <c r="A6053" s="10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  <c r="Q6053" s="11"/>
      <c r="R6053" s="11"/>
      <c r="S6053" s="11"/>
    </row>
    <row r="6054" spans="1:19" s="9" customFormat="1" x14ac:dyDescent="0.25">
      <c r="A6054" s="10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  <c r="Q6054" s="11"/>
      <c r="R6054" s="11"/>
      <c r="S6054" s="11"/>
    </row>
    <row r="6055" spans="1:19" s="9" customFormat="1" x14ac:dyDescent="0.25">
      <c r="A6055" s="10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  <c r="Q6055" s="11"/>
      <c r="R6055" s="11"/>
      <c r="S6055" s="11"/>
    </row>
    <row r="6056" spans="1:19" s="9" customFormat="1" x14ac:dyDescent="0.25">
      <c r="A6056" s="10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  <c r="Q6056" s="11"/>
      <c r="R6056" s="11"/>
      <c r="S6056" s="11"/>
    </row>
    <row r="6057" spans="1:19" s="9" customFormat="1" x14ac:dyDescent="0.25">
      <c r="A6057" s="10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  <c r="Q6057" s="11"/>
      <c r="R6057" s="11"/>
      <c r="S6057" s="11"/>
    </row>
    <row r="6058" spans="1:19" s="9" customFormat="1" x14ac:dyDescent="0.25">
      <c r="A6058" s="10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  <c r="Q6058" s="11"/>
      <c r="R6058" s="11"/>
      <c r="S6058" s="11"/>
    </row>
    <row r="6059" spans="1:19" s="9" customFormat="1" x14ac:dyDescent="0.25">
      <c r="A6059" s="10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  <c r="Q6059" s="11"/>
      <c r="R6059" s="11"/>
      <c r="S6059" s="11"/>
    </row>
    <row r="6060" spans="1:19" s="9" customFormat="1" x14ac:dyDescent="0.25">
      <c r="A6060" s="10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  <c r="Q6060" s="11"/>
      <c r="R6060" s="11"/>
      <c r="S6060" s="11"/>
    </row>
    <row r="6061" spans="1:19" s="9" customFormat="1" x14ac:dyDescent="0.25">
      <c r="A6061" s="10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  <c r="Q6061" s="11"/>
      <c r="R6061" s="11"/>
      <c r="S6061" s="11"/>
    </row>
    <row r="6062" spans="1:19" s="9" customFormat="1" x14ac:dyDescent="0.25">
      <c r="A6062" s="10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  <c r="Q6062" s="11"/>
      <c r="R6062" s="11"/>
      <c r="S6062" s="11"/>
    </row>
    <row r="6063" spans="1:19" s="9" customFormat="1" x14ac:dyDescent="0.25">
      <c r="A6063" s="10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  <c r="Q6063" s="11"/>
      <c r="R6063" s="11"/>
      <c r="S6063" s="11"/>
    </row>
    <row r="6064" spans="1:19" s="9" customFormat="1" x14ac:dyDescent="0.25">
      <c r="A6064" s="10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  <c r="Q6064" s="11"/>
      <c r="R6064" s="11"/>
      <c r="S6064" s="11"/>
    </row>
    <row r="6065" spans="1:19" s="9" customFormat="1" x14ac:dyDescent="0.25">
      <c r="A6065" s="10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  <c r="Q6065" s="11"/>
      <c r="R6065" s="11"/>
      <c r="S6065" s="11"/>
    </row>
    <row r="6066" spans="1:19" s="9" customFormat="1" x14ac:dyDescent="0.25">
      <c r="A6066" s="10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  <c r="Q6066" s="11"/>
      <c r="R6066" s="11"/>
      <c r="S6066" s="11"/>
    </row>
    <row r="6067" spans="1:19" s="9" customFormat="1" x14ac:dyDescent="0.25">
      <c r="A6067" s="10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  <c r="Q6067" s="11"/>
      <c r="R6067" s="11"/>
      <c r="S6067" s="11"/>
    </row>
    <row r="6068" spans="1:19" s="9" customFormat="1" x14ac:dyDescent="0.25">
      <c r="A6068" s="10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  <c r="Q6068" s="11"/>
      <c r="R6068" s="11"/>
      <c r="S6068" s="11"/>
    </row>
    <row r="6069" spans="1:19" s="9" customFormat="1" x14ac:dyDescent="0.25">
      <c r="A6069" s="10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  <c r="Q6069" s="11"/>
      <c r="R6069" s="11"/>
      <c r="S6069" s="11"/>
    </row>
    <row r="6070" spans="1:19" s="9" customFormat="1" x14ac:dyDescent="0.25">
      <c r="A6070" s="10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  <c r="Q6070" s="11"/>
      <c r="R6070" s="11"/>
      <c r="S6070" s="11"/>
    </row>
    <row r="6071" spans="1:19" s="9" customFormat="1" x14ac:dyDescent="0.25">
      <c r="A6071" s="10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  <c r="Q6071" s="11"/>
      <c r="R6071" s="11"/>
      <c r="S6071" s="11"/>
    </row>
    <row r="6072" spans="1:19" s="9" customFormat="1" x14ac:dyDescent="0.25">
      <c r="A6072" s="10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  <c r="Q6072" s="11"/>
      <c r="R6072" s="11"/>
      <c r="S6072" s="11"/>
    </row>
    <row r="6073" spans="1:19" s="9" customFormat="1" x14ac:dyDescent="0.25">
      <c r="A6073" s="10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  <c r="Q6073" s="11"/>
      <c r="R6073" s="11"/>
      <c r="S6073" s="11"/>
    </row>
    <row r="6074" spans="1:19" s="9" customFormat="1" x14ac:dyDescent="0.25">
      <c r="A6074" s="10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  <c r="Q6074" s="11"/>
      <c r="R6074" s="11"/>
      <c r="S6074" s="11"/>
    </row>
    <row r="6075" spans="1:19" s="9" customFormat="1" x14ac:dyDescent="0.25">
      <c r="A6075" s="10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  <c r="Q6075" s="11"/>
      <c r="R6075" s="11"/>
      <c r="S6075" s="11"/>
    </row>
    <row r="6076" spans="1:19" s="9" customFormat="1" x14ac:dyDescent="0.25">
      <c r="A6076" s="10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  <c r="Q6076" s="11"/>
      <c r="R6076" s="11"/>
      <c r="S6076" s="11"/>
    </row>
    <row r="6077" spans="1:19" s="9" customFormat="1" x14ac:dyDescent="0.25">
      <c r="A6077" s="10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  <c r="Q6077" s="11"/>
      <c r="R6077" s="11"/>
      <c r="S6077" s="11"/>
    </row>
    <row r="6078" spans="1:19" s="9" customFormat="1" x14ac:dyDescent="0.25">
      <c r="A6078" s="10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  <c r="Q6078" s="11"/>
      <c r="R6078" s="11"/>
      <c r="S6078" s="11"/>
    </row>
    <row r="6079" spans="1:19" s="9" customFormat="1" x14ac:dyDescent="0.25">
      <c r="A6079" s="10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  <c r="Q6079" s="11"/>
      <c r="R6079" s="11"/>
      <c r="S6079" s="11"/>
    </row>
    <row r="6080" spans="1:19" s="9" customFormat="1" x14ac:dyDescent="0.25">
      <c r="A6080" s="10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  <c r="Q6080" s="11"/>
      <c r="R6080" s="11"/>
      <c r="S6080" s="11"/>
    </row>
    <row r="6081" spans="1:19" s="9" customFormat="1" x14ac:dyDescent="0.25">
      <c r="A6081" s="10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  <c r="Q6081" s="11"/>
      <c r="R6081" s="11"/>
      <c r="S6081" s="11"/>
    </row>
    <row r="6082" spans="1:19" s="9" customFormat="1" x14ac:dyDescent="0.25">
      <c r="A6082" s="10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  <c r="Q6082" s="11"/>
      <c r="R6082" s="11"/>
      <c r="S6082" s="11"/>
    </row>
    <row r="6083" spans="1:19" s="9" customFormat="1" x14ac:dyDescent="0.25">
      <c r="A6083" s="10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  <c r="Q6083" s="11"/>
      <c r="R6083" s="11"/>
      <c r="S6083" s="11"/>
    </row>
    <row r="6084" spans="1:19" s="9" customFormat="1" x14ac:dyDescent="0.25">
      <c r="A6084" s="10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  <c r="Q6084" s="11"/>
      <c r="R6084" s="11"/>
      <c r="S6084" s="11"/>
    </row>
    <row r="6085" spans="1:19" s="9" customFormat="1" x14ac:dyDescent="0.25">
      <c r="A6085" s="10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  <c r="Q6085" s="11"/>
      <c r="R6085" s="11"/>
      <c r="S6085" s="11"/>
    </row>
    <row r="6086" spans="1:19" s="9" customFormat="1" x14ac:dyDescent="0.25">
      <c r="A6086" s="10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  <c r="Q6086" s="11"/>
      <c r="R6086" s="11"/>
      <c r="S6086" s="11"/>
    </row>
    <row r="6087" spans="1:19" s="9" customFormat="1" x14ac:dyDescent="0.25">
      <c r="A6087" s="10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  <c r="Q6087" s="11"/>
      <c r="R6087" s="11"/>
      <c r="S6087" s="11"/>
    </row>
    <row r="6088" spans="1:19" s="9" customFormat="1" x14ac:dyDescent="0.25">
      <c r="A6088" s="10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  <c r="Q6088" s="11"/>
      <c r="R6088" s="11"/>
      <c r="S6088" s="11"/>
    </row>
    <row r="6089" spans="1:19" s="9" customFormat="1" x14ac:dyDescent="0.25">
      <c r="A6089" s="10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  <c r="Q6089" s="11"/>
      <c r="R6089" s="11"/>
      <c r="S6089" s="11"/>
    </row>
    <row r="6090" spans="1:19" s="9" customFormat="1" x14ac:dyDescent="0.25">
      <c r="A6090" s="10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  <c r="Q6090" s="11"/>
      <c r="R6090" s="11"/>
      <c r="S6090" s="11"/>
    </row>
    <row r="6091" spans="1:19" s="9" customFormat="1" x14ac:dyDescent="0.25">
      <c r="A6091" s="10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  <c r="Q6091" s="11"/>
      <c r="R6091" s="11"/>
      <c r="S6091" s="11"/>
    </row>
    <row r="6092" spans="1:19" s="9" customFormat="1" x14ac:dyDescent="0.25">
      <c r="A6092" s="10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  <c r="Q6092" s="11"/>
      <c r="R6092" s="11"/>
      <c r="S6092" s="11"/>
    </row>
    <row r="6093" spans="1:19" s="9" customFormat="1" x14ac:dyDescent="0.25">
      <c r="A6093" s="10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  <c r="Q6093" s="11"/>
      <c r="R6093" s="11"/>
      <c r="S6093" s="11"/>
    </row>
    <row r="6094" spans="1:19" s="9" customFormat="1" x14ac:dyDescent="0.25">
      <c r="A6094" s="10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  <c r="Q6094" s="11"/>
      <c r="R6094" s="11"/>
      <c r="S6094" s="11"/>
    </row>
    <row r="6095" spans="1:19" s="9" customFormat="1" x14ac:dyDescent="0.25">
      <c r="A6095" s="10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  <c r="Q6095" s="11"/>
      <c r="R6095" s="11"/>
      <c r="S6095" s="11"/>
    </row>
    <row r="6096" spans="1:19" s="9" customFormat="1" x14ac:dyDescent="0.25">
      <c r="A6096" s="10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  <c r="Q6096" s="11"/>
      <c r="R6096" s="11"/>
      <c r="S6096" s="11"/>
    </row>
    <row r="6097" spans="1:19" s="9" customFormat="1" x14ac:dyDescent="0.25">
      <c r="A6097" s="10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  <c r="Q6097" s="11"/>
      <c r="R6097" s="11"/>
      <c r="S6097" s="11"/>
    </row>
    <row r="6098" spans="1:19" s="9" customFormat="1" x14ac:dyDescent="0.25">
      <c r="A6098" s="10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  <c r="Q6098" s="11"/>
      <c r="R6098" s="11"/>
      <c r="S6098" s="11"/>
    </row>
    <row r="6099" spans="1:19" s="9" customFormat="1" x14ac:dyDescent="0.25">
      <c r="A6099" s="10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  <c r="Q6099" s="11"/>
      <c r="R6099" s="11"/>
      <c r="S6099" s="11"/>
    </row>
    <row r="6100" spans="1:19" s="9" customFormat="1" x14ac:dyDescent="0.25">
      <c r="A6100" s="10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  <c r="Q6100" s="11"/>
      <c r="R6100" s="11"/>
      <c r="S6100" s="11"/>
    </row>
    <row r="6101" spans="1:19" s="9" customFormat="1" x14ac:dyDescent="0.25">
      <c r="A6101" s="10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  <c r="Q6101" s="11"/>
      <c r="R6101" s="11"/>
      <c r="S6101" s="11"/>
    </row>
    <row r="6102" spans="1:19" s="9" customFormat="1" x14ac:dyDescent="0.25">
      <c r="A6102" s="10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  <c r="Q6102" s="11"/>
      <c r="R6102" s="11"/>
      <c r="S6102" s="11"/>
    </row>
    <row r="6103" spans="1:19" s="9" customFormat="1" x14ac:dyDescent="0.25">
      <c r="A6103" s="10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  <c r="Q6103" s="11"/>
      <c r="R6103" s="11"/>
      <c r="S6103" s="11"/>
    </row>
    <row r="6104" spans="1:19" s="9" customFormat="1" x14ac:dyDescent="0.25">
      <c r="A6104" s="10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  <c r="Q6104" s="11"/>
      <c r="R6104" s="11"/>
      <c r="S6104" s="11"/>
    </row>
    <row r="6105" spans="1:19" s="9" customFormat="1" x14ac:dyDescent="0.25">
      <c r="A6105" s="10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  <c r="Q6105" s="11"/>
      <c r="R6105" s="11"/>
      <c r="S6105" s="11"/>
    </row>
    <row r="6106" spans="1:19" s="9" customFormat="1" x14ac:dyDescent="0.25">
      <c r="A6106" s="10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  <c r="Q6106" s="11"/>
      <c r="R6106" s="11"/>
      <c r="S6106" s="11"/>
    </row>
    <row r="6107" spans="1:19" s="9" customFormat="1" x14ac:dyDescent="0.25">
      <c r="A6107" s="10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  <c r="Q6107" s="11"/>
      <c r="R6107" s="11"/>
      <c r="S6107" s="11"/>
    </row>
    <row r="6108" spans="1:19" s="9" customFormat="1" x14ac:dyDescent="0.25">
      <c r="A6108" s="10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  <c r="Q6108" s="11"/>
      <c r="R6108" s="11"/>
      <c r="S6108" s="11"/>
    </row>
    <row r="6109" spans="1:19" s="9" customFormat="1" x14ac:dyDescent="0.25">
      <c r="A6109" s="10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  <c r="Q6109" s="11"/>
      <c r="R6109" s="11"/>
      <c r="S6109" s="11"/>
    </row>
    <row r="6110" spans="1:19" s="9" customFormat="1" x14ac:dyDescent="0.25">
      <c r="A6110" s="10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  <c r="Q6110" s="11"/>
      <c r="R6110" s="11"/>
      <c r="S6110" s="11"/>
    </row>
    <row r="6111" spans="1:19" s="9" customFormat="1" x14ac:dyDescent="0.25">
      <c r="A6111" s="10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  <c r="Q6111" s="11"/>
      <c r="R6111" s="11"/>
      <c r="S6111" s="11"/>
    </row>
    <row r="6112" spans="1:19" s="9" customFormat="1" x14ac:dyDescent="0.25">
      <c r="A6112" s="10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  <c r="Q6112" s="11"/>
      <c r="R6112" s="11"/>
      <c r="S6112" s="11"/>
    </row>
    <row r="6113" spans="1:19" s="9" customFormat="1" x14ac:dyDescent="0.25">
      <c r="A6113" s="10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  <c r="Q6113" s="11"/>
      <c r="R6113" s="11"/>
      <c r="S6113" s="11"/>
    </row>
    <row r="6114" spans="1:19" s="9" customFormat="1" x14ac:dyDescent="0.25">
      <c r="A6114" s="10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  <c r="Q6114" s="11"/>
      <c r="R6114" s="11"/>
      <c r="S6114" s="11"/>
    </row>
    <row r="6115" spans="1:19" s="9" customFormat="1" x14ac:dyDescent="0.25">
      <c r="A6115" s="10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  <c r="Q6115" s="11"/>
      <c r="R6115" s="11"/>
      <c r="S6115" s="11"/>
    </row>
    <row r="6116" spans="1:19" s="9" customFormat="1" x14ac:dyDescent="0.25">
      <c r="A6116" s="10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  <c r="Q6116" s="11"/>
      <c r="R6116" s="11"/>
      <c r="S6116" s="11"/>
    </row>
    <row r="6117" spans="1:19" s="9" customFormat="1" x14ac:dyDescent="0.25">
      <c r="A6117" s="10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  <c r="Q6117" s="11"/>
      <c r="R6117" s="11"/>
      <c r="S6117" s="11"/>
    </row>
    <row r="6118" spans="1:19" s="9" customFormat="1" x14ac:dyDescent="0.25">
      <c r="A6118" s="10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  <c r="Q6118" s="11"/>
      <c r="R6118" s="11"/>
      <c r="S6118" s="11"/>
    </row>
    <row r="6119" spans="1:19" s="9" customFormat="1" x14ac:dyDescent="0.25">
      <c r="A6119" s="10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  <c r="Q6119" s="11"/>
      <c r="R6119" s="11"/>
      <c r="S6119" s="11"/>
    </row>
    <row r="6120" spans="1:19" s="9" customFormat="1" x14ac:dyDescent="0.25">
      <c r="A6120" s="10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  <c r="Q6120" s="11"/>
      <c r="R6120" s="11"/>
      <c r="S6120" s="11"/>
    </row>
    <row r="6121" spans="1:19" s="9" customFormat="1" x14ac:dyDescent="0.25">
      <c r="A6121" s="10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  <c r="Q6121" s="11"/>
      <c r="R6121" s="11"/>
      <c r="S6121" s="11"/>
    </row>
    <row r="6122" spans="1:19" s="9" customFormat="1" x14ac:dyDescent="0.25">
      <c r="A6122" s="10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  <c r="Q6122" s="11"/>
      <c r="R6122" s="11"/>
      <c r="S6122" s="11"/>
    </row>
    <row r="6123" spans="1:19" s="9" customFormat="1" x14ac:dyDescent="0.25">
      <c r="A6123" s="10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  <c r="Q6123" s="11"/>
      <c r="R6123" s="11"/>
      <c r="S6123" s="11"/>
    </row>
    <row r="6124" spans="1:19" s="9" customFormat="1" x14ac:dyDescent="0.25">
      <c r="A6124" s="10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  <c r="Q6124" s="11"/>
      <c r="R6124" s="11"/>
      <c r="S6124" s="11"/>
    </row>
    <row r="6125" spans="1:19" s="9" customFormat="1" x14ac:dyDescent="0.25">
      <c r="A6125" s="10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  <c r="Q6125" s="11"/>
      <c r="R6125" s="11"/>
      <c r="S6125" s="11"/>
    </row>
    <row r="6126" spans="1:19" s="9" customFormat="1" x14ac:dyDescent="0.25">
      <c r="A6126" s="10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  <c r="Q6126" s="11"/>
      <c r="R6126" s="11"/>
      <c r="S6126" s="11"/>
    </row>
    <row r="6127" spans="1:19" s="9" customFormat="1" x14ac:dyDescent="0.25">
      <c r="A6127" s="10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  <c r="Q6127" s="11"/>
      <c r="R6127" s="11"/>
      <c r="S6127" s="11"/>
    </row>
    <row r="6128" spans="1:19" s="9" customFormat="1" x14ac:dyDescent="0.25">
      <c r="A6128" s="10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  <c r="Q6128" s="11"/>
      <c r="R6128" s="11"/>
      <c r="S6128" s="11"/>
    </row>
    <row r="6129" spans="1:19" s="9" customFormat="1" x14ac:dyDescent="0.25">
      <c r="A6129" s="10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  <c r="Q6129" s="11"/>
      <c r="R6129" s="11"/>
      <c r="S6129" s="11"/>
    </row>
    <row r="6130" spans="1:19" s="9" customFormat="1" x14ac:dyDescent="0.25">
      <c r="A6130" s="10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  <c r="Q6130" s="11"/>
      <c r="R6130" s="11"/>
      <c r="S6130" s="11"/>
    </row>
    <row r="6131" spans="1:19" s="9" customFormat="1" x14ac:dyDescent="0.25">
      <c r="A6131" s="10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  <c r="Q6131" s="11"/>
      <c r="R6131" s="11"/>
      <c r="S6131" s="11"/>
    </row>
    <row r="6132" spans="1:19" s="9" customFormat="1" x14ac:dyDescent="0.25">
      <c r="A6132" s="10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  <c r="Q6132" s="11"/>
      <c r="R6132" s="11"/>
      <c r="S6132" s="11"/>
    </row>
    <row r="6133" spans="1:19" s="9" customFormat="1" x14ac:dyDescent="0.25">
      <c r="A6133" s="10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  <c r="Q6133" s="11"/>
      <c r="R6133" s="11"/>
      <c r="S6133" s="11"/>
    </row>
    <row r="6134" spans="1:19" s="9" customFormat="1" x14ac:dyDescent="0.25">
      <c r="A6134" s="10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  <c r="Q6134" s="11"/>
      <c r="R6134" s="11"/>
      <c r="S6134" s="11"/>
    </row>
    <row r="6135" spans="1:19" s="9" customFormat="1" x14ac:dyDescent="0.25">
      <c r="A6135" s="10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  <c r="Q6135" s="11"/>
      <c r="R6135" s="11"/>
      <c r="S6135" s="11"/>
    </row>
    <row r="6136" spans="1:19" s="9" customFormat="1" x14ac:dyDescent="0.25">
      <c r="A6136" s="10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  <c r="Q6136" s="11"/>
      <c r="R6136" s="11"/>
      <c r="S6136" s="11"/>
    </row>
    <row r="6137" spans="1:19" s="9" customFormat="1" x14ac:dyDescent="0.25">
      <c r="A6137" s="10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  <c r="Q6137" s="11"/>
      <c r="R6137" s="11"/>
      <c r="S6137" s="11"/>
    </row>
    <row r="6138" spans="1:19" s="9" customFormat="1" x14ac:dyDescent="0.25">
      <c r="A6138" s="10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  <c r="Q6138" s="11"/>
      <c r="R6138" s="11"/>
      <c r="S6138" s="11"/>
    </row>
    <row r="6139" spans="1:19" s="9" customFormat="1" x14ac:dyDescent="0.25">
      <c r="A6139" s="10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  <c r="Q6139" s="11"/>
      <c r="R6139" s="11"/>
      <c r="S6139" s="11"/>
    </row>
    <row r="6140" spans="1:19" s="9" customFormat="1" x14ac:dyDescent="0.25">
      <c r="A6140" s="10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  <c r="Q6140" s="11"/>
      <c r="R6140" s="11"/>
      <c r="S6140" s="11"/>
    </row>
    <row r="6141" spans="1:19" s="9" customFormat="1" x14ac:dyDescent="0.25">
      <c r="A6141" s="10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  <c r="Q6141" s="11"/>
      <c r="R6141" s="11"/>
      <c r="S6141" s="11"/>
    </row>
    <row r="6142" spans="1:19" s="9" customFormat="1" x14ac:dyDescent="0.25">
      <c r="A6142" s="10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  <c r="Q6142" s="11"/>
      <c r="R6142" s="11"/>
      <c r="S6142" s="11"/>
    </row>
    <row r="6143" spans="1:19" s="9" customFormat="1" x14ac:dyDescent="0.25">
      <c r="A6143" s="10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  <c r="Q6143" s="11"/>
      <c r="R6143" s="11"/>
      <c r="S6143" s="11"/>
    </row>
    <row r="6144" spans="1:19" s="9" customFormat="1" x14ac:dyDescent="0.25">
      <c r="A6144" s="10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  <c r="Q6144" s="11"/>
      <c r="R6144" s="11"/>
      <c r="S6144" s="11"/>
    </row>
    <row r="6145" spans="1:19" s="9" customFormat="1" x14ac:dyDescent="0.25">
      <c r="A6145" s="10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  <c r="Q6145" s="11"/>
      <c r="R6145" s="11"/>
      <c r="S6145" s="11"/>
    </row>
    <row r="6146" spans="1:19" s="9" customFormat="1" x14ac:dyDescent="0.25">
      <c r="A6146" s="10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  <c r="Q6146" s="11"/>
      <c r="R6146" s="11"/>
      <c r="S6146" s="11"/>
    </row>
    <row r="6147" spans="1:19" s="9" customFormat="1" x14ac:dyDescent="0.25">
      <c r="A6147" s="10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  <c r="Q6147" s="11"/>
      <c r="R6147" s="11"/>
      <c r="S6147" s="11"/>
    </row>
    <row r="6148" spans="1:19" s="9" customFormat="1" x14ac:dyDescent="0.25">
      <c r="A6148" s="10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  <c r="Q6148" s="11"/>
      <c r="R6148" s="11"/>
      <c r="S6148" s="11"/>
    </row>
    <row r="6149" spans="1:19" s="9" customFormat="1" x14ac:dyDescent="0.25">
      <c r="A6149" s="10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  <c r="Q6149" s="11"/>
      <c r="R6149" s="11"/>
      <c r="S6149" s="11"/>
    </row>
    <row r="6150" spans="1:19" s="9" customFormat="1" x14ac:dyDescent="0.25">
      <c r="A6150" s="10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  <c r="Q6150" s="11"/>
      <c r="R6150" s="11"/>
      <c r="S6150" s="11"/>
    </row>
    <row r="6151" spans="1:19" s="9" customFormat="1" x14ac:dyDescent="0.25">
      <c r="A6151" s="10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  <c r="Q6151" s="11"/>
      <c r="R6151" s="11"/>
      <c r="S6151" s="11"/>
    </row>
    <row r="6152" spans="1:19" s="9" customFormat="1" x14ac:dyDescent="0.25">
      <c r="A6152" s="10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  <c r="Q6152" s="11"/>
      <c r="R6152" s="11"/>
      <c r="S6152" s="11"/>
    </row>
    <row r="6153" spans="1:19" s="9" customFormat="1" x14ac:dyDescent="0.25">
      <c r="A6153" s="10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  <c r="Q6153" s="11"/>
      <c r="R6153" s="11"/>
      <c r="S6153" s="11"/>
    </row>
    <row r="6154" spans="1:19" s="9" customFormat="1" x14ac:dyDescent="0.25">
      <c r="A6154" s="10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  <c r="Q6154" s="11"/>
      <c r="R6154" s="11"/>
      <c r="S6154" s="11"/>
    </row>
    <row r="6155" spans="1:19" s="9" customFormat="1" x14ac:dyDescent="0.25">
      <c r="A6155" s="10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  <c r="Q6155" s="11"/>
      <c r="R6155" s="11"/>
      <c r="S6155" s="11"/>
    </row>
    <row r="6156" spans="1:19" s="9" customFormat="1" x14ac:dyDescent="0.25">
      <c r="A6156" s="10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  <c r="Q6156" s="11"/>
      <c r="R6156" s="11"/>
      <c r="S6156" s="11"/>
    </row>
    <row r="6157" spans="1:19" s="9" customFormat="1" x14ac:dyDescent="0.25">
      <c r="A6157" s="10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  <c r="Q6157" s="11"/>
      <c r="R6157" s="11"/>
      <c r="S6157" s="11"/>
    </row>
    <row r="6158" spans="1:19" s="9" customFormat="1" x14ac:dyDescent="0.25">
      <c r="A6158" s="10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  <c r="Q6158" s="11"/>
      <c r="R6158" s="11"/>
      <c r="S6158" s="11"/>
    </row>
    <row r="6159" spans="1:19" s="9" customFormat="1" x14ac:dyDescent="0.25">
      <c r="A6159" s="10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  <c r="Q6159" s="11"/>
      <c r="R6159" s="11"/>
      <c r="S6159" s="11"/>
    </row>
    <row r="6160" spans="1:19" s="9" customFormat="1" x14ac:dyDescent="0.25">
      <c r="A6160" s="10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  <c r="Q6160" s="11"/>
      <c r="R6160" s="11"/>
      <c r="S6160" s="11"/>
    </row>
    <row r="6161" spans="1:19" s="9" customFormat="1" x14ac:dyDescent="0.25">
      <c r="A6161" s="10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  <c r="Q6161" s="11"/>
      <c r="R6161" s="11"/>
      <c r="S6161" s="11"/>
    </row>
    <row r="6162" spans="1:19" s="9" customFormat="1" x14ac:dyDescent="0.25">
      <c r="A6162" s="10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  <c r="Q6162" s="11"/>
      <c r="R6162" s="11"/>
      <c r="S6162" s="11"/>
    </row>
    <row r="6163" spans="1:19" s="9" customFormat="1" x14ac:dyDescent="0.25">
      <c r="A6163" s="10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  <c r="Q6163" s="11"/>
      <c r="R6163" s="11"/>
      <c r="S6163" s="11"/>
    </row>
    <row r="6164" spans="1:19" s="9" customFormat="1" x14ac:dyDescent="0.25">
      <c r="A6164" s="10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  <c r="Q6164" s="11"/>
      <c r="R6164" s="11"/>
      <c r="S6164" s="11"/>
    </row>
    <row r="6165" spans="1:19" s="9" customFormat="1" x14ac:dyDescent="0.25">
      <c r="A6165" s="10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  <c r="Q6165" s="11"/>
      <c r="R6165" s="11"/>
      <c r="S6165" s="11"/>
    </row>
    <row r="6166" spans="1:19" s="9" customFormat="1" x14ac:dyDescent="0.25">
      <c r="A6166" s="10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  <c r="Q6166" s="11"/>
      <c r="R6166" s="11"/>
      <c r="S6166" s="11"/>
    </row>
    <row r="6167" spans="1:19" s="9" customFormat="1" x14ac:dyDescent="0.25">
      <c r="A6167" s="10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  <c r="Q6167" s="11"/>
      <c r="R6167" s="11"/>
      <c r="S6167" s="11"/>
    </row>
    <row r="6168" spans="1:19" s="9" customFormat="1" x14ac:dyDescent="0.25">
      <c r="A6168" s="10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  <c r="Q6168" s="11"/>
      <c r="R6168" s="11"/>
      <c r="S6168" s="11"/>
    </row>
    <row r="6169" spans="1:19" s="9" customFormat="1" x14ac:dyDescent="0.25">
      <c r="A6169" s="10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  <c r="Q6169" s="11"/>
      <c r="R6169" s="11"/>
      <c r="S6169" s="11"/>
    </row>
    <row r="6170" spans="1:19" s="9" customFormat="1" x14ac:dyDescent="0.25">
      <c r="A6170" s="10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  <c r="Q6170" s="11"/>
      <c r="R6170" s="11"/>
      <c r="S6170" s="11"/>
    </row>
    <row r="6171" spans="1:19" s="9" customFormat="1" x14ac:dyDescent="0.25">
      <c r="A6171" s="10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  <c r="Q6171" s="11"/>
      <c r="R6171" s="11"/>
      <c r="S6171" s="11"/>
    </row>
    <row r="6172" spans="1:19" s="9" customFormat="1" x14ac:dyDescent="0.25">
      <c r="A6172" s="10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  <c r="Q6172" s="11"/>
      <c r="R6172" s="11"/>
      <c r="S6172" s="11"/>
    </row>
    <row r="6173" spans="1:19" s="9" customFormat="1" x14ac:dyDescent="0.25">
      <c r="A6173" s="10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  <c r="Q6173" s="11"/>
      <c r="R6173" s="11"/>
      <c r="S6173" s="11"/>
    </row>
    <row r="6174" spans="1:19" s="9" customFormat="1" x14ac:dyDescent="0.25">
      <c r="A6174" s="10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  <c r="Q6174" s="11"/>
      <c r="R6174" s="11"/>
      <c r="S6174" s="11"/>
    </row>
    <row r="6175" spans="1:19" s="9" customFormat="1" x14ac:dyDescent="0.25">
      <c r="A6175" s="10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  <c r="Q6175" s="11"/>
      <c r="R6175" s="11"/>
      <c r="S6175" s="11"/>
    </row>
    <row r="6176" spans="1:19" s="9" customFormat="1" x14ac:dyDescent="0.25">
      <c r="A6176" s="10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  <c r="Q6176" s="11"/>
      <c r="R6176" s="11"/>
      <c r="S6176" s="11"/>
    </row>
    <row r="6177" spans="1:19" s="9" customFormat="1" x14ac:dyDescent="0.25">
      <c r="A6177" s="10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  <c r="Q6177" s="11"/>
      <c r="R6177" s="11"/>
      <c r="S6177" s="11"/>
    </row>
    <row r="6178" spans="1:19" s="9" customFormat="1" x14ac:dyDescent="0.25">
      <c r="A6178" s="10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  <c r="Q6178" s="11"/>
      <c r="R6178" s="11"/>
      <c r="S6178" s="11"/>
    </row>
    <row r="6179" spans="1:19" s="9" customFormat="1" x14ac:dyDescent="0.25">
      <c r="A6179" s="10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  <c r="Q6179" s="11"/>
      <c r="R6179" s="11"/>
      <c r="S6179" s="11"/>
    </row>
    <row r="6180" spans="1:19" s="9" customFormat="1" x14ac:dyDescent="0.25">
      <c r="A6180" s="10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  <c r="Q6180" s="11"/>
      <c r="R6180" s="11"/>
      <c r="S6180" s="11"/>
    </row>
    <row r="6181" spans="1:19" s="9" customFormat="1" x14ac:dyDescent="0.25">
      <c r="A6181" s="10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  <c r="Q6181" s="11"/>
      <c r="R6181" s="11"/>
      <c r="S6181" s="11"/>
    </row>
    <row r="6182" spans="1:19" s="9" customFormat="1" x14ac:dyDescent="0.25">
      <c r="A6182" s="10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  <c r="Q6182" s="11"/>
      <c r="R6182" s="11"/>
      <c r="S6182" s="11"/>
    </row>
    <row r="6183" spans="1:19" s="9" customFormat="1" x14ac:dyDescent="0.25">
      <c r="A6183" s="10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  <c r="Q6183" s="11"/>
      <c r="R6183" s="11"/>
      <c r="S6183" s="11"/>
    </row>
    <row r="6184" spans="1:19" s="9" customFormat="1" x14ac:dyDescent="0.25">
      <c r="A6184" s="10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  <c r="Q6184" s="11"/>
      <c r="R6184" s="11"/>
      <c r="S6184" s="11"/>
    </row>
    <row r="6185" spans="1:19" s="9" customFormat="1" x14ac:dyDescent="0.25">
      <c r="A6185" s="10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  <c r="Q6185" s="11"/>
      <c r="R6185" s="11"/>
      <c r="S6185" s="11"/>
    </row>
    <row r="6186" spans="1:19" s="9" customFormat="1" x14ac:dyDescent="0.25">
      <c r="A6186" s="10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  <c r="Q6186" s="11"/>
      <c r="R6186" s="11"/>
      <c r="S6186" s="11"/>
    </row>
    <row r="6187" spans="1:19" s="9" customFormat="1" x14ac:dyDescent="0.25">
      <c r="A6187" s="10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  <c r="Q6187" s="11"/>
      <c r="R6187" s="11"/>
      <c r="S6187" s="11"/>
    </row>
    <row r="6188" spans="1:19" s="9" customFormat="1" x14ac:dyDescent="0.25">
      <c r="A6188" s="10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  <c r="Q6188" s="11"/>
      <c r="R6188" s="11"/>
      <c r="S6188" s="11"/>
    </row>
    <row r="6189" spans="1:19" s="9" customFormat="1" x14ac:dyDescent="0.25">
      <c r="A6189" s="10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  <c r="Q6189" s="11"/>
      <c r="R6189" s="11"/>
      <c r="S6189" s="11"/>
    </row>
    <row r="6190" spans="1:19" s="9" customFormat="1" x14ac:dyDescent="0.25">
      <c r="A6190" s="10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  <c r="Q6190" s="11"/>
      <c r="R6190" s="11"/>
      <c r="S6190" s="11"/>
    </row>
    <row r="6191" spans="1:19" s="9" customFormat="1" x14ac:dyDescent="0.25">
      <c r="A6191" s="10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  <c r="Q6191" s="11"/>
      <c r="R6191" s="11"/>
      <c r="S6191" s="11"/>
    </row>
    <row r="6192" spans="1:19" s="9" customFormat="1" x14ac:dyDescent="0.25">
      <c r="A6192" s="10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  <c r="Q6192" s="11"/>
      <c r="R6192" s="11"/>
      <c r="S6192" s="11"/>
    </row>
    <row r="6193" spans="1:19" s="9" customFormat="1" x14ac:dyDescent="0.25">
      <c r="A6193" s="10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  <c r="Q6193" s="11"/>
      <c r="R6193" s="11"/>
      <c r="S6193" s="11"/>
    </row>
    <row r="6194" spans="1:19" s="9" customFormat="1" x14ac:dyDescent="0.25">
      <c r="A6194" s="10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  <c r="Q6194" s="11"/>
      <c r="R6194" s="11"/>
      <c r="S6194" s="11"/>
    </row>
    <row r="6195" spans="1:19" s="9" customFormat="1" x14ac:dyDescent="0.25">
      <c r="A6195" s="10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  <c r="Q6195" s="11"/>
      <c r="R6195" s="11"/>
      <c r="S6195" s="11"/>
    </row>
    <row r="6196" spans="1:19" s="9" customFormat="1" x14ac:dyDescent="0.25">
      <c r="A6196" s="10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  <c r="Q6196" s="11"/>
      <c r="R6196" s="11"/>
      <c r="S6196" s="11"/>
    </row>
    <row r="6197" spans="1:19" s="9" customFormat="1" x14ac:dyDescent="0.25">
      <c r="A6197" s="10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  <c r="Q6197" s="11"/>
      <c r="R6197" s="11"/>
      <c r="S6197" s="11"/>
    </row>
    <row r="6198" spans="1:19" s="9" customFormat="1" x14ac:dyDescent="0.25">
      <c r="A6198" s="10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  <c r="Q6198" s="11"/>
      <c r="R6198" s="11"/>
      <c r="S6198" s="11"/>
    </row>
    <row r="6199" spans="1:19" s="9" customFormat="1" x14ac:dyDescent="0.25">
      <c r="A6199" s="10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  <c r="Q6199" s="11"/>
      <c r="R6199" s="11"/>
      <c r="S6199" s="11"/>
    </row>
    <row r="6200" spans="1:19" s="9" customFormat="1" x14ac:dyDescent="0.25">
      <c r="A6200" s="10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  <c r="Q6200" s="11"/>
      <c r="R6200" s="11"/>
      <c r="S6200" s="11"/>
    </row>
    <row r="6201" spans="1:19" s="9" customFormat="1" x14ac:dyDescent="0.25">
      <c r="A6201" s="10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  <c r="Q6201" s="11"/>
      <c r="R6201" s="11"/>
      <c r="S6201" s="11"/>
    </row>
    <row r="6202" spans="1:19" s="9" customFormat="1" x14ac:dyDescent="0.25">
      <c r="A6202" s="10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  <c r="Q6202" s="11"/>
      <c r="R6202" s="11"/>
      <c r="S6202" s="11"/>
    </row>
    <row r="6203" spans="1:19" s="9" customFormat="1" x14ac:dyDescent="0.25">
      <c r="A6203" s="10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  <c r="Q6203" s="11"/>
      <c r="R6203" s="11"/>
      <c r="S6203" s="11"/>
    </row>
    <row r="6204" spans="1:19" s="9" customFormat="1" x14ac:dyDescent="0.25">
      <c r="A6204" s="10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  <c r="Q6204" s="11"/>
      <c r="R6204" s="11"/>
      <c r="S6204" s="11"/>
    </row>
    <row r="6205" spans="1:19" s="9" customFormat="1" x14ac:dyDescent="0.25">
      <c r="A6205" s="10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  <c r="Q6205" s="11"/>
      <c r="R6205" s="11"/>
      <c r="S6205" s="11"/>
    </row>
    <row r="6206" spans="1:19" s="9" customFormat="1" x14ac:dyDescent="0.25">
      <c r="A6206" s="10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  <c r="Q6206" s="11"/>
      <c r="R6206" s="11"/>
      <c r="S6206" s="11"/>
    </row>
    <row r="6207" spans="1:19" s="9" customFormat="1" x14ac:dyDescent="0.25">
      <c r="A6207" s="10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  <c r="Q6207" s="11"/>
      <c r="R6207" s="11"/>
      <c r="S6207" s="11"/>
    </row>
    <row r="6208" spans="1:19" s="9" customFormat="1" x14ac:dyDescent="0.25">
      <c r="A6208" s="10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  <c r="Q6208" s="11"/>
      <c r="R6208" s="11"/>
      <c r="S6208" s="11"/>
    </row>
    <row r="6209" spans="1:19" s="9" customFormat="1" x14ac:dyDescent="0.25">
      <c r="A6209" s="10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  <c r="Q6209" s="11"/>
      <c r="R6209" s="11"/>
      <c r="S6209" s="11"/>
    </row>
    <row r="6210" spans="1:19" s="9" customFormat="1" x14ac:dyDescent="0.25">
      <c r="A6210" s="10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  <c r="Q6210" s="11"/>
      <c r="R6210" s="11"/>
      <c r="S6210" s="11"/>
    </row>
    <row r="6211" spans="1:19" s="9" customFormat="1" x14ac:dyDescent="0.25">
      <c r="A6211" s="10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  <c r="Q6211" s="11"/>
      <c r="R6211" s="11"/>
      <c r="S6211" s="11"/>
    </row>
    <row r="6212" spans="1:19" s="9" customFormat="1" x14ac:dyDescent="0.25">
      <c r="A6212" s="10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  <c r="Q6212" s="11"/>
      <c r="R6212" s="11"/>
      <c r="S6212" s="11"/>
    </row>
    <row r="6213" spans="1:19" s="9" customFormat="1" x14ac:dyDescent="0.25">
      <c r="A6213" s="10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  <c r="Q6213" s="11"/>
      <c r="R6213" s="11"/>
      <c r="S6213" s="11"/>
    </row>
    <row r="6214" spans="1:19" s="9" customFormat="1" x14ac:dyDescent="0.25">
      <c r="A6214" s="10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  <c r="Q6214" s="11"/>
      <c r="R6214" s="11"/>
      <c r="S6214" s="11"/>
    </row>
    <row r="6215" spans="1:19" s="9" customFormat="1" x14ac:dyDescent="0.25">
      <c r="A6215" s="10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  <c r="Q6215" s="11"/>
      <c r="R6215" s="11"/>
      <c r="S6215" s="11"/>
    </row>
    <row r="6216" spans="1:19" s="9" customFormat="1" x14ac:dyDescent="0.25">
      <c r="A6216" s="10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  <c r="Q6216" s="11"/>
      <c r="R6216" s="11"/>
      <c r="S6216" s="11"/>
    </row>
    <row r="6217" spans="1:19" s="9" customFormat="1" x14ac:dyDescent="0.25">
      <c r="A6217" s="10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  <c r="Q6217" s="11"/>
      <c r="R6217" s="11"/>
      <c r="S6217" s="11"/>
    </row>
    <row r="6218" spans="1:19" s="9" customFormat="1" x14ac:dyDescent="0.25">
      <c r="A6218" s="10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  <c r="Q6218" s="11"/>
      <c r="R6218" s="11"/>
      <c r="S6218" s="11"/>
    </row>
    <row r="6219" spans="1:19" s="9" customFormat="1" x14ac:dyDescent="0.25">
      <c r="A6219" s="10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  <c r="Q6219" s="11"/>
      <c r="R6219" s="11"/>
      <c r="S6219" s="11"/>
    </row>
    <row r="6220" spans="1:19" s="9" customFormat="1" x14ac:dyDescent="0.25">
      <c r="A6220" s="10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  <c r="Q6220" s="11"/>
      <c r="R6220" s="11"/>
      <c r="S6220" s="11"/>
    </row>
    <row r="6221" spans="1:19" s="9" customFormat="1" x14ac:dyDescent="0.25">
      <c r="A6221" s="10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  <c r="Q6221" s="11"/>
      <c r="R6221" s="11"/>
      <c r="S6221" s="11"/>
    </row>
    <row r="6222" spans="1:19" s="9" customFormat="1" x14ac:dyDescent="0.25">
      <c r="A6222" s="10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  <c r="Q6222" s="11"/>
      <c r="R6222" s="11"/>
      <c r="S6222" s="11"/>
    </row>
    <row r="6223" spans="1:19" s="9" customFormat="1" x14ac:dyDescent="0.25">
      <c r="A6223" s="10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  <c r="Q6223" s="11"/>
      <c r="R6223" s="11"/>
      <c r="S6223" s="11"/>
    </row>
    <row r="6224" spans="1:19" s="9" customFormat="1" x14ac:dyDescent="0.25">
      <c r="A6224" s="10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  <c r="Q6224" s="11"/>
      <c r="R6224" s="11"/>
      <c r="S6224" s="11"/>
    </row>
    <row r="6225" spans="1:19" s="9" customFormat="1" x14ac:dyDescent="0.25">
      <c r="A6225" s="10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  <c r="Q6225" s="11"/>
      <c r="R6225" s="11"/>
      <c r="S6225" s="11"/>
    </row>
    <row r="6226" spans="1:19" s="9" customFormat="1" x14ac:dyDescent="0.25">
      <c r="A6226" s="10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  <c r="Q6226" s="11"/>
      <c r="R6226" s="11"/>
      <c r="S6226" s="11"/>
    </row>
    <row r="6227" spans="1:19" s="9" customFormat="1" x14ac:dyDescent="0.25">
      <c r="A6227" s="10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  <c r="Q6227" s="11"/>
      <c r="R6227" s="11"/>
      <c r="S6227" s="11"/>
    </row>
    <row r="6228" spans="1:19" s="9" customFormat="1" x14ac:dyDescent="0.25">
      <c r="A6228" s="10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  <c r="Q6228" s="11"/>
      <c r="R6228" s="11"/>
      <c r="S6228" s="11"/>
    </row>
    <row r="6229" spans="1:19" s="9" customFormat="1" x14ac:dyDescent="0.25">
      <c r="A6229" s="10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  <c r="Q6229" s="11"/>
      <c r="R6229" s="11"/>
      <c r="S6229" s="11"/>
    </row>
    <row r="6230" spans="1:19" s="9" customFormat="1" x14ac:dyDescent="0.25">
      <c r="A6230" s="10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  <c r="Q6230" s="11"/>
      <c r="R6230" s="11"/>
      <c r="S6230" s="11"/>
    </row>
    <row r="6231" spans="1:19" s="9" customFormat="1" x14ac:dyDescent="0.25">
      <c r="A6231" s="10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  <c r="Q6231" s="11"/>
      <c r="R6231" s="11"/>
      <c r="S6231" s="11"/>
    </row>
    <row r="6232" spans="1:19" s="9" customFormat="1" x14ac:dyDescent="0.25">
      <c r="A6232" s="10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  <c r="Q6232" s="11"/>
      <c r="R6232" s="11"/>
      <c r="S6232" s="11"/>
    </row>
    <row r="6233" spans="1:19" s="9" customFormat="1" x14ac:dyDescent="0.25">
      <c r="A6233" s="10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  <c r="Q6233" s="11"/>
      <c r="R6233" s="11"/>
      <c r="S6233" s="11"/>
    </row>
    <row r="6234" spans="1:19" s="9" customFormat="1" x14ac:dyDescent="0.25">
      <c r="A6234" s="10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  <c r="Q6234" s="11"/>
      <c r="R6234" s="11"/>
      <c r="S6234" s="11"/>
    </row>
    <row r="6235" spans="1:19" s="9" customFormat="1" x14ac:dyDescent="0.25">
      <c r="A6235" s="10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  <c r="Q6235" s="11"/>
      <c r="R6235" s="11"/>
      <c r="S6235" s="11"/>
    </row>
    <row r="6236" spans="1:19" s="9" customFormat="1" x14ac:dyDescent="0.25">
      <c r="A6236" s="10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  <c r="Q6236" s="11"/>
      <c r="R6236" s="11"/>
      <c r="S6236" s="11"/>
    </row>
    <row r="6237" spans="1:19" s="9" customFormat="1" x14ac:dyDescent="0.25">
      <c r="A6237" s="10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  <c r="Q6237" s="11"/>
      <c r="R6237" s="11"/>
      <c r="S6237" s="11"/>
    </row>
    <row r="6238" spans="1:19" s="9" customFormat="1" x14ac:dyDescent="0.25">
      <c r="A6238" s="10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  <c r="Q6238" s="11"/>
      <c r="R6238" s="11"/>
      <c r="S6238" s="11"/>
    </row>
    <row r="6239" spans="1:19" s="9" customFormat="1" x14ac:dyDescent="0.25">
      <c r="A6239" s="10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  <c r="Q6239" s="11"/>
      <c r="R6239" s="11"/>
      <c r="S6239" s="11"/>
    </row>
    <row r="6240" spans="1:19" s="9" customFormat="1" x14ac:dyDescent="0.25">
      <c r="A6240" s="10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  <c r="Q6240" s="11"/>
      <c r="R6240" s="11"/>
      <c r="S6240" s="11"/>
    </row>
    <row r="6241" spans="1:19" s="9" customFormat="1" x14ac:dyDescent="0.25">
      <c r="A6241" s="10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  <c r="Q6241" s="11"/>
      <c r="R6241" s="11"/>
      <c r="S6241" s="11"/>
    </row>
    <row r="6242" spans="1:19" s="9" customFormat="1" x14ac:dyDescent="0.25">
      <c r="A6242" s="10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  <c r="Q6242" s="11"/>
      <c r="R6242" s="11"/>
      <c r="S6242" s="11"/>
    </row>
    <row r="6243" spans="1:19" s="9" customFormat="1" x14ac:dyDescent="0.25">
      <c r="A6243" s="10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  <c r="Q6243" s="11"/>
      <c r="R6243" s="11"/>
      <c r="S6243" s="11"/>
    </row>
    <row r="6244" spans="1:19" s="9" customFormat="1" x14ac:dyDescent="0.25">
      <c r="A6244" s="10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  <c r="Q6244" s="11"/>
      <c r="R6244" s="11"/>
      <c r="S6244" s="11"/>
    </row>
    <row r="6245" spans="1:19" s="9" customFormat="1" x14ac:dyDescent="0.25">
      <c r="A6245" s="10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  <c r="Q6245" s="11"/>
      <c r="R6245" s="11"/>
      <c r="S6245" s="11"/>
    </row>
    <row r="6246" spans="1:19" s="9" customFormat="1" x14ac:dyDescent="0.25">
      <c r="A6246" s="10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  <c r="Q6246" s="11"/>
      <c r="R6246" s="11"/>
      <c r="S6246" s="11"/>
    </row>
    <row r="6247" spans="1:19" s="9" customFormat="1" x14ac:dyDescent="0.25">
      <c r="A6247" s="10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  <c r="Q6247" s="11"/>
      <c r="R6247" s="11"/>
      <c r="S6247" s="11"/>
    </row>
    <row r="6248" spans="1:19" s="9" customFormat="1" x14ac:dyDescent="0.25">
      <c r="A6248" s="10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  <c r="Q6248" s="11"/>
      <c r="R6248" s="11"/>
      <c r="S6248" s="11"/>
    </row>
    <row r="6249" spans="1:19" s="9" customFormat="1" x14ac:dyDescent="0.25">
      <c r="A6249" s="10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  <c r="Q6249" s="11"/>
      <c r="R6249" s="11"/>
      <c r="S6249" s="11"/>
    </row>
    <row r="6250" spans="1:19" s="9" customFormat="1" x14ac:dyDescent="0.25">
      <c r="A6250" s="10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  <c r="Q6250" s="11"/>
      <c r="R6250" s="11"/>
      <c r="S6250" s="11"/>
    </row>
    <row r="6251" spans="1:19" s="9" customFormat="1" x14ac:dyDescent="0.25">
      <c r="A6251" s="10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  <c r="Q6251" s="11"/>
      <c r="R6251" s="11"/>
      <c r="S6251" s="11"/>
    </row>
    <row r="6252" spans="1:19" s="9" customFormat="1" x14ac:dyDescent="0.25">
      <c r="A6252" s="10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  <c r="Q6252" s="11"/>
      <c r="R6252" s="11"/>
      <c r="S6252" s="11"/>
    </row>
    <row r="6253" spans="1:19" s="9" customFormat="1" x14ac:dyDescent="0.25">
      <c r="A6253" s="10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  <c r="Q6253" s="11"/>
      <c r="R6253" s="11"/>
      <c r="S6253" s="11"/>
    </row>
    <row r="6254" spans="1:19" s="9" customFormat="1" x14ac:dyDescent="0.25">
      <c r="A6254" s="10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  <c r="Q6254" s="11"/>
      <c r="R6254" s="11"/>
      <c r="S6254" s="11"/>
    </row>
    <row r="6255" spans="1:19" s="9" customFormat="1" x14ac:dyDescent="0.25">
      <c r="A6255" s="10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  <c r="Q6255" s="11"/>
      <c r="R6255" s="11"/>
      <c r="S6255" s="11"/>
    </row>
    <row r="6256" spans="1:19" s="9" customFormat="1" x14ac:dyDescent="0.25">
      <c r="A6256" s="10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  <c r="Q6256" s="11"/>
      <c r="R6256" s="11"/>
      <c r="S6256" s="11"/>
    </row>
    <row r="6257" spans="1:19" s="9" customFormat="1" x14ac:dyDescent="0.25">
      <c r="A6257" s="10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  <c r="Q6257" s="11"/>
      <c r="R6257" s="11"/>
      <c r="S6257" s="11"/>
    </row>
    <row r="6258" spans="1:19" s="9" customFormat="1" x14ac:dyDescent="0.25">
      <c r="A6258" s="10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  <c r="Q6258" s="11"/>
      <c r="R6258" s="11"/>
      <c r="S6258" s="11"/>
    </row>
    <row r="6259" spans="1:19" s="9" customFormat="1" x14ac:dyDescent="0.25">
      <c r="A6259" s="10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  <c r="Q6259" s="11"/>
      <c r="R6259" s="11"/>
      <c r="S6259" s="11"/>
    </row>
    <row r="6260" spans="1:19" s="9" customFormat="1" x14ac:dyDescent="0.25">
      <c r="A6260" s="10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  <c r="Q6260" s="11"/>
      <c r="R6260" s="11"/>
      <c r="S6260" s="11"/>
    </row>
    <row r="6261" spans="1:19" s="9" customFormat="1" x14ac:dyDescent="0.25">
      <c r="A6261" s="10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  <c r="Q6261" s="11"/>
      <c r="R6261" s="11"/>
      <c r="S6261" s="11"/>
    </row>
    <row r="6262" spans="1:19" s="9" customFormat="1" x14ac:dyDescent="0.25">
      <c r="A6262" s="10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  <c r="Q6262" s="11"/>
      <c r="R6262" s="11"/>
      <c r="S6262" s="11"/>
    </row>
    <row r="6263" spans="1:19" s="9" customFormat="1" x14ac:dyDescent="0.25">
      <c r="A6263" s="10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  <c r="Q6263" s="11"/>
      <c r="R6263" s="11"/>
      <c r="S6263" s="11"/>
    </row>
    <row r="6264" spans="1:19" s="9" customFormat="1" x14ac:dyDescent="0.25">
      <c r="A6264" s="10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  <c r="Q6264" s="11"/>
      <c r="R6264" s="11"/>
      <c r="S6264" s="11"/>
    </row>
    <row r="6265" spans="1:19" s="9" customFormat="1" x14ac:dyDescent="0.25">
      <c r="A6265" s="10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  <c r="Q6265" s="11"/>
      <c r="R6265" s="11"/>
      <c r="S6265" s="11"/>
    </row>
    <row r="6266" spans="1:19" s="9" customFormat="1" x14ac:dyDescent="0.25">
      <c r="A6266" s="10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  <c r="Q6266" s="11"/>
      <c r="R6266" s="11"/>
      <c r="S6266" s="11"/>
    </row>
    <row r="6267" spans="1:19" s="9" customFormat="1" x14ac:dyDescent="0.25">
      <c r="A6267" s="10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  <c r="Q6267" s="11"/>
      <c r="R6267" s="11"/>
      <c r="S6267" s="11"/>
    </row>
    <row r="6268" spans="1:19" s="9" customFormat="1" x14ac:dyDescent="0.25">
      <c r="A6268" s="10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  <c r="Q6268" s="11"/>
      <c r="R6268" s="11"/>
      <c r="S6268" s="11"/>
    </row>
    <row r="6269" spans="1:19" s="9" customFormat="1" x14ac:dyDescent="0.25">
      <c r="A6269" s="10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  <c r="Q6269" s="11"/>
      <c r="R6269" s="11"/>
      <c r="S6269" s="11"/>
    </row>
    <row r="6270" spans="1:19" s="9" customFormat="1" x14ac:dyDescent="0.25">
      <c r="A6270" s="10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  <c r="Q6270" s="11"/>
      <c r="R6270" s="11"/>
      <c r="S6270" s="11"/>
    </row>
    <row r="6271" spans="1:19" s="9" customFormat="1" x14ac:dyDescent="0.25">
      <c r="A6271" s="10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  <c r="Q6271" s="11"/>
      <c r="R6271" s="11"/>
      <c r="S6271" s="11"/>
    </row>
    <row r="6272" spans="1:19" s="9" customFormat="1" x14ac:dyDescent="0.25">
      <c r="A6272" s="10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  <c r="Q6272" s="11"/>
      <c r="R6272" s="11"/>
      <c r="S6272" s="11"/>
    </row>
    <row r="6273" spans="1:19" s="9" customFormat="1" x14ac:dyDescent="0.25">
      <c r="A6273" s="10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  <c r="Q6273" s="11"/>
      <c r="R6273" s="11"/>
      <c r="S6273" s="11"/>
    </row>
    <row r="6274" spans="1:19" s="9" customFormat="1" x14ac:dyDescent="0.25">
      <c r="A6274" s="10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  <c r="Q6274" s="11"/>
      <c r="R6274" s="11"/>
      <c r="S6274" s="11"/>
    </row>
    <row r="6275" spans="1:19" s="9" customFormat="1" x14ac:dyDescent="0.25">
      <c r="A6275" s="10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  <c r="Q6275" s="11"/>
      <c r="R6275" s="11"/>
      <c r="S6275" s="11"/>
    </row>
    <row r="6276" spans="1:19" s="9" customFormat="1" x14ac:dyDescent="0.25">
      <c r="A6276" s="10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  <c r="Q6276" s="11"/>
      <c r="R6276" s="11"/>
      <c r="S6276" s="11"/>
    </row>
    <row r="6277" spans="1:19" s="9" customFormat="1" x14ac:dyDescent="0.25">
      <c r="A6277" s="10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  <c r="Q6277" s="11"/>
      <c r="R6277" s="11"/>
      <c r="S6277" s="11"/>
    </row>
    <row r="6278" spans="1:19" s="9" customFormat="1" x14ac:dyDescent="0.25">
      <c r="A6278" s="10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  <c r="Q6278" s="11"/>
      <c r="R6278" s="11"/>
      <c r="S6278" s="11"/>
    </row>
    <row r="6279" spans="1:19" s="9" customFormat="1" x14ac:dyDescent="0.25">
      <c r="A6279" s="10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  <c r="Q6279" s="11"/>
      <c r="R6279" s="11"/>
      <c r="S6279" s="11"/>
    </row>
    <row r="6280" spans="1:19" s="9" customFormat="1" x14ac:dyDescent="0.25">
      <c r="A6280" s="10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  <c r="Q6280" s="11"/>
      <c r="R6280" s="11"/>
      <c r="S6280" s="11"/>
    </row>
    <row r="6281" spans="1:19" s="9" customFormat="1" x14ac:dyDescent="0.25">
      <c r="A6281" s="10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  <c r="Q6281" s="11"/>
      <c r="R6281" s="11"/>
      <c r="S6281" s="11"/>
    </row>
    <row r="6282" spans="1:19" s="9" customFormat="1" x14ac:dyDescent="0.25">
      <c r="A6282" s="10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  <c r="Q6282" s="11"/>
      <c r="R6282" s="11"/>
      <c r="S6282" s="11"/>
    </row>
    <row r="6283" spans="1:19" s="9" customFormat="1" x14ac:dyDescent="0.25">
      <c r="A6283" s="10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  <c r="Q6283" s="11"/>
      <c r="R6283" s="11"/>
      <c r="S6283" s="11"/>
    </row>
    <row r="6284" spans="1:19" s="9" customFormat="1" x14ac:dyDescent="0.25">
      <c r="A6284" s="10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  <c r="Q6284" s="11"/>
      <c r="R6284" s="11"/>
      <c r="S6284" s="11"/>
    </row>
    <row r="6285" spans="1:19" s="9" customFormat="1" x14ac:dyDescent="0.25">
      <c r="A6285" s="10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  <c r="Q6285" s="11"/>
      <c r="R6285" s="11"/>
      <c r="S6285" s="11"/>
    </row>
    <row r="6286" spans="1:19" s="9" customFormat="1" x14ac:dyDescent="0.25">
      <c r="A6286" s="10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  <c r="Q6286" s="11"/>
      <c r="R6286" s="11"/>
      <c r="S6286" s="11"/>
    </row>
    <row r="6287" spans="1:19" s="9" customFormat="1" x14ac:dyDescent="0.25">
      <c r="A6287" s="10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  <c r="Q6287" s="11"/>
      <c r="R6287" s="11"/>
      <c r="S6287" s="11"/>
    </row>
    <row r="6288" spans="1:19" s="9" customFormat="1" x14ac:dyDescent="0.25">
      <c r="A6288" s="10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  <c r="Q6288" s="11"/>
      <c r="R6288" s="11"/>
      <c r="S6288" s="11"/>
    </row>
    <row r="6289" spans="1:19" s="9" customFormat="1" x14ac:dyDescent="0.25">
      <c r="A6289" s="10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  <c r="Q6289" s="11"/>
      <c r="R6289" s="11"/>
      <c r="S6289" s="11"/>
    </row>
    <row r="6290" spans="1:19" s="9" customFormat="1" x14ac:dyDescent="0.25">
      <c r="A6290" s="10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  <c r="Q6290" s="11"/>
      <c r="R6290" s="11"/>
      <c r="S6290" s="11"/>
    </row>
    <row r="6291" spans="1:19" s="9" customFormat="1" x14ac:dyDescent="0.25">
      <c r="A6291" s="10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  <c r="Q6291" s="11"/>
      <c r="R6291" s="11"/>
      <c r="S6291" s="11"/>
    </row>
    <row r="6292" spans="1:19" s="9" customFormat="1" x14ac:dyDescent="0.25">
      <c r="A6292" s="10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  <c r="Q6292" s="11"/>
      <c r="R6292" s="11"/>
      <c r="S6292" s="11"/>
    </row>
    <row r="6293" spans="1:19" s="9" customFormat="1" x14ac:dyDescent="0.25">
      <c r="A6293" s="10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  <c r="Q6293" s="11"/>
      <c r="R6293" s="11"/>
      <c r="S6293" s="11"/>
    </row>
    <row r="6294" spans="1:19" s="9" customFormat="1" x14ac:dyDescent="0.25">
      <c r="A6294" s="10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  <c r="Q6294" s="11"/>
      <c r="R6294" s="11"/>
      <c r="S6294" s="11"/>
    </row>
    <row r="6295" spans="1:19" s="9" customFormat="1" x14ac:dyDescent="0.25">
      <c r="A6295" s="10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  <c r="Q6295" s="11"/>
      <c r="R6295" s="11"/>
      <c r="S6295" s="11"/>
    </row>
    <row r="6296" spans="1:19" s="9" customFormat="1" x14ac:dyDescent="0.25">
      <c r="A6296" s="10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  <c r="Q6296" s="11"/>
      <c r="R6296" s="11"/>
      <c r="S6296" s="11"/>
    </row>
    <row r="6297" spans="1:19" s="9" customFormat="1" x14ac:dyDescent="0.25">
      <c r="A6297" s="10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  <c r="Q6297" s="11"/>
      <c r="R6297" s="11"/>
      <c r="S6297" s="11"/>
    </row>
    <row r="6298" spans="1:19" s="9" customFormat="1" x14ac:dyDescent="0.25">
      <c r="A6298" s="10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  <c r="Q6298" s="11"/>
      <c r="R6298" s="11"/>
      <c r="S6298" s="11"/>
    </row>
    <row r="6299" spans="1:19" s="9" customFormat="1" x14ac:dyDescent="0.25">
      <c r="A6299" s="10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  <c r="Q6299" s="11"/>
      <c r="R6299" s="11"/>
      <c r="S6299" s="11"/>
    </row>
    <row r="6300" spans="1:19" s="9" customFormat="1" x14ac:dyDescent="0.25">
      <c r="A6300" s="10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  <c r="Q6300" s="11"/>
      <c r="R6300" s="11"/>
      <c r="S6300" s="11"/>
    </row>
    <row r="6301" spans="1:19" s="9" customFormat="1" x14ac:dyDescent="0.25">
      <c r="A6301" s="10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  <c r="Q6301" s="11"/>
      <c r="R6301" s="11"/>
      <c r="S6301" s="11"/>
    </row>
    <row r="6302" spans="1:19" s="9" customFormat="1" x14ac:dyDescent="0.25">
      <c r="A6302" s="10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  <c r="Q6302" s="11"/>
      <c r="R6302" s="11"/>
      <c r="S6302" s="11"/>
    </row>
    <row r="6303" spans="1:19" s="9" customFormat="1" x14ac:dyDescent="0.25">
      <c r="A6303" s="10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  <c r="Q6303" s="11"/>
      <c r="R6303" s="11"/>
      <c r="S6303" s="11"/>
    </row>
    <row r="6304" spans="1:19" s="9" customFormat="1" x14ac:dyDescent="0.25">
      <c r="A6304" s="10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  <c r="Q6304" s="11"/>
      <c r="R6304" s="11"/>
      <c r="S6304" s="11"/>
    </row>
    <row r="6305" spans="1:19" s="9" customFormat="1" x14ac:dyDescent="0.25">
      <c r="A6305" s="10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  <c r="Q6305" s="11"/>
      <c r="R6305" s="11"/>
      <c r="S6305" s="11"/>
    </row>
    <row r="6306" spans="1:19" s="9" customFormat="1" x14ac:dyDescent="0.25">
      <c r="A6306" s="10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  <c r="Q6306" s="11"/>
      <c r="R6306" s="11"/>
      <c r="S6306" s="11"/>
    </row>
    <row r="6307" spans="1:19" s="9" customFormat="1" x14ac:dyDescent="0.25">
      <c r="A6307" s="10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  <c r="Q6307" s="11"/>
      <c r="R6307" s="11"/>
      <c r="S6307" s="11"/>
    </row>
    <row r="6308" spans="1:19" s="9" customFormat="1" x14ac:dyDescent="0.25">
      <c r="A6308" s="10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  <c r="Q6308" s="11"/>
      <c r="R6308" s="11"/>
      <c r="S6308" s="11"/>
    </row>
    <row r="6309" spans="1:19" s="9" customFormat="1" x14ac:dyDescent="0.25">
      <c r="A6309" s="10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  <c r="Q6309" s="11"/>
      <c r="R6309" s="11"/>
      <c r="S6309" s="11"/>
    </row>
    <row r="6310" spans="1:19" s="9" customFormat="1" x14ac:dyDescent="0.25">
      <c r="A6310" s="10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  <c r="Q6310" s="11"/>
      <c r="R6310" s="11"/>
      <c r="S6310" s="11"/>
    </row>
    <row r="6311" spans="1:19" s="9" customFormat="1" x14ac:dyDescent="0.25">
      <c r="A6311" s="10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  <c r="Q6311" s="11"/>
      <c r="R6311" s="11"/>
      <c r="S6311" s="11"/>
    </row>
    <row r="6312" spans="1:19" s="9" customFormat="1" x14ac:dyDescent="0.25">
      <c r="A6312" s="10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  <c r="Q6312" s="11"/>
      <c r="R6312" s="11"/>
      <c r="S6312" s="11"/>
    </row>
    <row r="6313" spans="1:19" s="9" customFormat="1" x14ac:dyDescent="0.25">
      <c r="A6313" s="10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  <c r="Q6313" s="11"/>
      <c r="R6313" s="11"/>
      <c r="S6313" s="11"/>
    </row>
    <row r="6314" spans="1:19" s="9" customFormat="1" x14ac:dyDescent="0.25">
      <c r="A6314" s="10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  <c r="Q6314" s="11"/>
      <c r="R6314" s="11"/>
      <c r="S6314" s="11"/>
    </row>
    <row r="6315" spans="1:19" s="9" customFormat="1" x14ac:dyDescent="0.25">
      <c r="A6315" s="10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  <c r="Q6315" s="11"/>
      <c r="R6315" s="11"/>
      <c r="S6315" s="11"/>
    </row>
    <row r="6316" spans="1:19" s="9" customFormat="1" x14ac:dyDescent="0.25">
      <c r="A6316" s="10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  <c r="Q6316" s="11"/>
      <c r="R6316" s="11"/>
      <c r="S6316" s="11"/>
    </row>
    <row r="6317" spans="1:19" s="9" customFormat="1" x14ac:dyDescent="0.25">
      <c r="A6317" s="10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  <c r="Q6317" s="11"/>
      <c r="R6317" s="11"/>
      <c r="S6317" s="11"/>
    </row>
    <row r="6318" spans="1:19" s="9" customFormat="1" x14ac:dyDescent="0.25">
      <c r="A6318" s="10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  <c r="Q6318" s="11"/>
      <c r="R6318" s="11"/>
      <c r="S6318" s="11"/>
    </row>
    <row r="6319" spans="1:19" s="9" customFormat="1" x14ac:dyDescent="0.25">
      <c r="A6319" s="10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  <c r="Q6319" s="11"/>
      <c r="R6319" s="11"/>
      <c r="S6319" s="11"/>
    </row>
    <row r="6320" spans="1:19" s="9" customFormat="1" x14ac:dyDescent="0.25">
      <c r="A6320" s="10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  <c r="Q6320" s="11"/>
      <c r="R6320" s="11"/>
      <c r="S6320" s="11"/>
    </row>
    <row r="6321" spans="1:19" s="9" customFormat="1" x14ac:dyDescent="0.25">
      <c r="A6321" s="10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  <c r="Q6321" s="11"/>
      <c r="R6321" s="11"/>
      <c r="S6321" s="11"/>
    </row>
    <row r="6322" spans="1:19" s="9" customFormat="1" x14ac:dyDescent="0.25">
      <c r="A6322" s="10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  <c r="Q6322" s="11"/>
      <c r="R6322" s="11"/>
      <c r="S6322" s="11"/>
    </row>
    <row r="6323" spans="1:19" s="9" customFormat="1" x14ac:dyDescent="0.25">
      <c r="A6323" s="10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  <c r="Q6323" s="11"/>
      <c r="R6323" s="11"/>
      <c r="S6323" s="11"/>
    </row>
    <row r="6324" spans="1:19" s="9" customFormat="1" x14ac:dyDescent="0.25">
      <c r="A6324" s="10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  <c r="Q6324" s="11"/>
      <c r="R6324" s="11"/>
      <c r="S6324" s="11"/>
    </row>
    <row r="6325" spans="1:19" s="9" customFormat="1" x14ac:dyDescent="0.25">
      <c r="A6325" s="10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  <c r="Q6325" s="11"/>
      <c r="R6325" s="11"/>
      <c r="S6325" s="11"/>
    </row>
    <row r="6326" spans="1:19" s="9" customFormat="1" x14ac:dyDescent="0.25">
      <c r="A6326" s="10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  <c r="Q6326" s="11"/>
      <c r="R6326" s="11"/>
      <c r="S6326" s="11"/>
    </row>
    <row r="6327" spans="1:19" s="9" customFormat="1" x14ac:dyDescent="0.25">
      <c r="A6327" s="10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  <c r="Q6327" s="11"/>
      <c r="R6327" s="11"/>
      <c r="S6327" s="11"/>
    </row>
    <row r="6328" spans="1:19" s="9" customFormat="1" x14ac:dyDescent="0.25">
      <c r="A6328" s="10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  <c r="Q6328" s="11"/>
      <c r="R6328" s="11"/>
      <c r="S6328" s="11"/>
    </row>
    <row r="6329" spans="1:19" s="9" customFormat="1" x14ac:dyDescent="0.25">
      <c r="A6329" s="10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  <c r="Q6329" s="11"/>
      <c r="R6329" s="11"/>
      <c r="S6329" s="11"/>
    </row>
    <row r="6330" spans="1:19" s="9" customFormat="1" x14ac:dyDescent="0.25">
      <c r="A6330" s="10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  <c r="Q6330" s="11"/>
      <c r="R6330" s="11"/>
      <c r="S6330" s="11"/>
    </row>
    <row r="6331" spans="1:19" s="9" customFormat="1" x14ac:dyDescent="0.25">
      <c r="A6331" s="10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  <c r="Q6331" s="11"/>
      <c r="R6331" s="11"/>
      <c r="S6331" s="11"/>
    </row>
    <row r="6332" spans="1:19" s="9" customFormat="1" x14ac:dyDescent="0.25">
      <c r="A6332" s="10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  <c r="Q6332" s="11"/>
      <c r="R6332" s="11"/>
      <c r="S6332" s="11"/>
    </row>
    <row r="6333" spans="1:19" s="9" customFormat="1" x14ac:dyDescent="0.25">
      <c r="A6333" s="10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  <c r="Q6333" s="11"/>
      <c r="R6333" s="11"/>
      <c r="S6333" s="11"/>
    </row>
    <row r="6334" spans="1:19" s="9" customFormat="1" x14ac:dyDescent="0.25">
      <c r="A6334" s="10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  <c r="Q6334" s="11"/>
      <c r="R6334" s="11"/>
      <c r="S6334" s="11"/>
    </row>
    <row r="6335" spans="1:19" s="9" customFormat="1" x14ac:dyDescent="0.25">
      <c r="A6335" s="10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  <c r="Q6335" s="11"/>
      <c r="R6335" s="11"/>
      <c r="S6335" s="11"/>
    </row>
    <row r="6336" spans="1:19" s="9" customFormat="1" x14ac:dyDescent="0.25">
      <c r="A6336" s="10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  <c r="Q6336" s="11"/>
      <c r="R6336" s="11"/>
      <c r="S6336" s="11"/>
    </row>
    <row r="6337" spans="1:19" s="9" customFormat="1" x14ac:dyDescent="0.25">
      <c r="A6337" s="10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  <c r="Q6337" s="11"/>
      <c r="R6337" s="11"/>
      <c r="S6337" s="11"/>
    </row>
    <row r="6338" spans="1:19" s="9" customFormat="1" x14ac:dyDescent="0.25">
      <c r="A6338" s="10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  <c r="Q6338" s="11"/>
      <c r="R6338" s="11"/>
      <c r="S6338" s="11"/>
    </row>
    <row r="6339" spans="1:19" s="9" customFormat="1" x14ac:dyDescent="0.25">
      <c r="A6339" s="10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  <c r="Q6339" s="11"/>
      <c r="R6339" s="11"/>
      <c r="S6339" s="11"/>
    </row>
    <row r="6340" spans="1:19" s="9" customFormat="1" x14ac:dyDescent="0.25">
      <c r="A6340" s="10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  <c r="Q6340" s="11"/>
      <c r="R6340" s="11"/>
      <c r="S6340" s="11"/>
    </row>
    <row r="6341" spans="1:19" s="9" customFormat="1" x14ac:dyDescent="0.25">
      <c r="A6341" s="10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  <c r="Q6341" s="11"/>
      <c r="R6341" s="11"/>
      <c r="S6341" s="11"/>
    </row>
    <row r="6342" spans="1:19" s="9" customFormat="1" x14ac:dyDescent="0.25">
      <c r="A6342" s="10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  <c r="Q6342" s="11"/>
      <c r="R6342" s="11"/>
      <c r="S6342" s="11"/>
    </row>
    <row r="6343" spans="1:19" s="9" customFormat="1" x14ac:dyDescent="0.25">
      <c r="A6343" s="10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  <c r="Q6343" s="11"/>
      <c r="R6343" s="11"/>
      <c r="S6343" s="11"/>
    </row>
    <row r="6344" spans="1:19" s="9" customFormat="1" x14ac:dyDescent="0.25">
      <c r="A6344" s="10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  <c r="Q6344" s="11"/>
      <c r="R6344" s="11"/>
      <c r="S6344" s="11"/>
    </row>
    <row r="6345" spans="1:19" s="9" customFormat="1" x14ac:dyDescent="0.25">
      <c r="A6345" s="10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  <c r="Q6345" s="11"/>
      <c r="R6345" s="11"/>
      <c r="S6345" s="11"/>
    </row>
    <row r="6346" spans="1:19" s="9" customFormat="1" x14ac:dyDescent="0.25">
      <c r="A6346" s="10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  <c r="Q6346" s="11"/>
      <c r="R6346" s="11"/>
      <c r="S6346" s="11"/>
    </row>
    <row r="6347" spans="1:19" s="9" customFormat="1" x14ac:dyDescent="0.25">
      <c r="A6347" s="10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  <c r="Q6347" s="11"/>
      <c r="R6347" s="11"/>
      <c r="S6347" s="11"/>
    </row>
    <row r="6348" spans="1:19" s="9" customFormat="1" x14ac:dyDescent="0.25">
      <c r="A6348" s="10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  <c r="Q6348" s="11"/>
      <c r="R6348" s="11"/>
      <c r="S6348" s="11"/>
    </row>
    <row r="6349" spans="1:19" s="9" customFormat="1" x14ac:dyDescent="0.25">
      <c r="A6349" s="10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  <c r="Q6349" s="11"/>
      <c r="R6349" s="11"/>
      <c r="S6349" s="11"/>
    </row>
    <row r="6350" spans="1:19" s="9" customFormat="1" x14ac:dyDescent="0.25">
      <c r="A6350" s="10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  <c r="Q6350" s="11"/>
      <c r="R6350" s="11"/>
      <c r="S6350" s="11"/>
    </row>
    <row r="6351" spans="1:19" s="9" customFormat="1" x14ac:dyDescent="0.25">
      <c r="A6351" s="10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  <c r="Q6351" s="11"/>
      <c r="R6351" s="11"/>
      <c r="S6351" s="11"/>
    </row>
    <row r="6352" spans="1:19" s="9" customFormat="1" x14ac:dyDescent="0.25">
      <c r="A6352" s="10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  <c r="Q6352" s="11"/>
      <c r="R6352" s="11"/>
      <c r="S6352" s="11"/>
    </row>
    <row r="6353" spans="1:19" s="9" customFormat="1" x14ac:dyDescent="0.25">
      <c r="A6353" s="10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  <c r="Q6353" s="11"/>
      <c r="R6353" s="11"/>
      <c r="S6353" s="11"/>
    </row>
    <row r="6354" spans="1:19" s="9" customFormat="1" x14ac:dyDescent="0.25">
      <c r="A6354" s="10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  <c r="Q6354" s="11"/>
      <c r="R6354" s="11"/>
      <c r="S6354" s="11"/>
    </row>
    <row r="6355" spans="1:19" s="9" customFormat="1" x14ac:dyDescent="0.25">
      <c r="A6355" s="10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  <c r="Q6355" s="11"/>
      <c r="R6355" s="11"/>
      <c r="S6355" s="11"/>
    </row>
    <row r="6356" spans="1:19" s="9" customFormat="1" x14ac:dyDescent="0.25">
      <c r="A6356" s="10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  <c r="Q6356" s="11"/>
      <c r="R6356" s="11"/>
      <c r="S6356" s="11"/>
    </row>
    <row r="6357" spans="1:19" s="9" customFormat="1" x14ac:dyDescent="0.25">
      <c r="A6357" s="10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  <c r="Q6357" s="11"/>
      <c r="R6357" s="11"/>
      <c r="S6357" s="11"/>
    </row>
    <row r="6358" spans="1:19" s="9" customFormat="1" x14ac:dyDescent="0.25">
      <c r="A6358" s="10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  <c r="Q6358" s="11"/>
      <c r="R6358" s="11"/>
      <c r="S6358" s="11"/>
    </row>
    <row r="6359" spans="1:19" s="9" customFormat="1" x14ac:dyDescent="0.25">
      <c r="A6359" s="10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  <c r="Q6359" s="11"/>
      <c r="R6359" s="11"/>
      <c r="S6359" s="11"/>
    </row>
    <row r="6360" spans="1:19" s="9" customFormat="1" x14ac:dyDescent="0.25">
      <c r="A6360" s="10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  <c r="Q6360" s="11"/>
      <c r="R6360" s="11"/>
      <c r="S6360" s="11"/>
    </row>
    <row r="6361" spans="1:19" s="9" customFormat="1" x14ac:dyDescent="0.25">
      <c r="A6361" s="10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  <c r="Q6361" s="11"/>
      <c r="R6361" s="11"/>
      <c r="S6361" s="11"/>
    </row>
    <row r="6362" spans="1:19" s="9" customFormat="1" x14ac:dyDescent="0.25">
      <c r="A6362" s="10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  <c r="Q6362" s="11"/>
      <c r="R6362" s="11"/>
      <c r="S6362" s="11"/>
    </row>
    <row r="6363" spans="1:19" s="9" customFormat="1" x14ac:dyDescent="0.25">
      <c r="A6363" s="10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  <c r="Q6363" s="11"/>
      <c r="R6363" s="11"/>
      <c r="S6363" s="11"/>
    </row>
    <row r="6364" spans="1:19" s="9" customFormat="1" x14ac:dyDescent="0.25">
      <c r="A6364" s="10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  <c r="Q6364" s="11"/>
      <c r="R6364" s="11"/>
      <c r="S6364" s="11"/>
    </row>
    <row r="6365" spans="1:19" s="9" customFormat="1" x14ac:dyDescent="0.25">
      <c r="A6365" s="10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  <c r="Q6365" s="11"/>
      <c r="R6365" s="11"/>
      <c r="S6365" s="11"/>
    </row>
    <row r="6366" spans="1:19" s="9" customFormat="1" x14ac:dyDescent="0.25">
      <c r="A6366" s="10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  <c r="Q6366" s="11"/>
      <c r="R6366" s="11"/>
      <c r="S6366" s="11"/>
    </row>
    <row r="6367" spans="1:19" s="9" customFormat="1" x14ac:dyDescent="0.25">
      <c r="A6367" s="10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  <c r="Q6367" s="11"/>
      <c r="R6367" s="11"/>
      <c r="S6367" s="11"/>
    </row>
    <row r="6368" spans="1:19" s="9" customFormat="1" x14ac:dyDescent="0.25">
      <c r="A6368" s="10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  <c r="Q6368" s="11"/>
      <c r="R6368" s="11"/>
      <c r="S6368" s="11"/>
    </row>
    <row r="6369" spans="1:19" s="9" customFormat="1" x14ac:dyDescent="0.25">
      <c r="A6369" s="10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  <c r="Q6369" s="11"/>
      <c r="R6369" s="11"/>
      <c r="S6369" s="11"/>
    </row>
    <row r="6370" spans="1:19" s="9" customFormat="1" x14ac:dyDescent="0.25">
      <c r="A6370" s="10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  <c r="Q6370" s="11"/>
      <c r="R6370" s="11"/>
      <c r="S6370" s="11"/>
    </row>
    <row r="6371" spans="1:19" s="9" customFormat="1" x14ac:dyDescent="0.25">
      <c r="A6371" s="10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  <c r="Q6371" s="11"/>
      <c r="R6371" s="11"/>
      <c r="S6371" s="11"/>
    </row>
    <row r="6372" spans="1:19" s="9" customFormat="1" x14ac:dyDescent="0.25">
      <c r="A6372" s="10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  <c r="Q6372" s="11"/>
      <c r="R6372" s="11"/>
      <c r="S6372" s="11"/>
    </row>
    <row r="6373" spans="1:19" s="9" customFormat="1" x14ac:dyDescent="0.25">
      <c r="A6373" s="10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  <c r="Q6373" s="11"/>
      <c r="R6373" s="11"/>
      <c r="S6373" s="11"/>
    </row>
    <row r="6374" spans="1:19" s="9" customFormat="1" x14ac:dyDescent="0.25">
      <c r="A6374" s="10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  <c r="Q6374" s="11"/>
      <c r="R6374" s="11"/>
      <c r="S6374" s="11"/>
    </row>
    <row r="6375" spans="1:19" s="9" customFormat="1" x14ac:dyDescent="0.25">
      <c r="A6375" s="10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  <c r="Q6375" s="11"/>
      <c r="R6375" s="11"/>
      <c r="S6375" s="11"/>
    </row>
    <row r="6376" spans="1:19" s="9" customFormat="1" x14ac:dyDescent="0.25">
      <c r="A6376" s="10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  <c r="Q6376" s="11"/>
      <c r="R6376" s="11"/>
      <c r="S6376" s="11"/>
    </row>
    <row r="6377" spans="1:19" s="9" customFormat="1" x14ac:dyDescent="0.25">
      <c r="A6377" s="10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  <c r="Q6377" s="11"/>
      <c r="R6377" s="11"/>
      <c r="S6377" s="11"/>
    </row>
    <row r="6378" spans="1:19" s="9" customFormat="1" x14ac:dyDescent="0.25">
      <c r="A6378" s="10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  <c r="Q6378" s="11"/>
      <c r="R6378" s="11"/>
      <c r="S6378" s="11"/>
    </row>
    <row r="6379" spans="1:19" s="9" customFormat="1" x14ac:dyDescent="0.25">
      <c r="A6379" s="10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  <c r="Q6379" s="11"/>
      <c r="R6379" s="11"/>
      <c r="S6379" s="11"/>
    </row>
    <row r="6380" spans="1:19" s="9" customFormat="1" x14ac:dyDescent="0.25">
      <c r="A6380" s="10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  <c r="Q6380" s="11"/>
      <c r="R6380" s="11"/>
      <c r="S6380" s="11"/>
    </row>
    <row r="6381" spans="1:19" s="9" customFormat="1" x14ac:dyDescent="0.25">
      <c r="A6381" s="10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  <c r="Q6381" s="11"/>
      <c r="R6381" s="11"/>
      <c r="S6381" s="11"/>
    </row>
    <row r="6382" spans="1:19" s="9" customFormat="1" x14ac:dyDescent="0.25">
      <c r="A6382" s="10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  <c r="Q6382" s="11"/>
      <c r="R6382" s="11"/>
      <c r="S6382" s="11"/>
    </row>
    <row r="6383" spans="1:19" s="9" customFormat="1" x14ac:dyDescent="0.25">
      <c r="A6383" s="10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  <c r="Q6383" s="11"/>
      <c r="R6383" s="11"/>
      <c r="S6383" s="11"/>
    </row>
    <row r="6384" spans="1:19" s="9" customFormat="1" x14ac:dyDescent="0.25">
      <c r="A6384" s="10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  <c r="Q6384" s="11"/>
      <c r="R6384" s="11"/>
      <c r="S6384" s="11"/>
    </row>
    <row r="6385" spans="1:19" s="9" customFormat="1" x14ac:dyDescent="0.25">
      <c r="A6385" s="10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  <c r="Q6385" s="11"/>
      <c r="R6385" s="11"/>
      <c r="S6385" s="11"/>
    </row>
    <row r="6386" spans="1:19" s="9" customFormat="1" x14ac:dyDescent="0.25">
      <c r="A6386" s="10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  <c r="Q6386" s="11"/>
      <c r="R6386" s="11"/>
      <c r="S6386" s="11"/>
    </row>
    <row r="6387" spans="1:19" s="9" customFormat="1" x14ac:dyDescent="0.25">
      <c r="A6387" s="10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  <c r="Q6387" s="11"/>
      <c r="R6387" s="11"/>
      <c r="S6387" s="11"/>
    </row>
    <row r="6388" spans="1:19" s="9" customFormat="1" x14ac:dyDescent="0.25">
      <c r="A6388" s="10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  <c r="Q6388" s="11"/>
      <c r="R6388" s="11"/>
      <c r="S6388" s="11"/>
    </row>
    <row r="6389" spans="1:19" s="9" customFormat="1" x14ac:dyDescent="0.25">
      <c r="A6389" s="10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  <c r="Q6389" s="11"/>
      <c r="R6389" s="11"/>
      <c r="S6389" s="11"/>
    </row>
    <row r="6390" spans="1:19" s="9" customFormat="1" x14ac:dyDescent="0.25">
      <c r="A6390" s="10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  <c r="Q6390" s="11"/>
      <c r="R6390" s="11"/>
      <c r="S6390" s="11"/>
    </row>
    <row r="6391" spans="1:19" s="9" customFormat="1" x14ac:dyDescent="0.25">
      <c r="A6391" s="10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  <c r="Q6391" s="11"/>
      <c r="R6391" s="11"/>
      <c r="S6391" s="11"/>
    </row>
    <row r="6392" spans="1:19" s="9" customFormat="1" x14ac:dyDescent="0.25">
      <c r="A6392" s="10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  <c r="Q6392" s="11"/>
      <c r="R6392" s="11"/>
      <c r="S6392" s="11"/>
    </row>
    <row r="6393" spans="1:19" s="9" customFormat="1" x14ac:dyDescent="0.25">
      <c r="A6393" s="10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  <c r="Q6393" s="11"/>
      <c r="R6393" s="11"/>
      <c r="S6393" s="11"/>
    </row>
    <row r="6394" spans="1:19" s="9" customFormat="1" x14ac:dyDescent="0.25">
      <c r="A6394" s="10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  <c r="Q6394" s="11"/>
      <c r="R6394" s="11"/>
      <c r="S6394" s="11"/>
    </row>
    <row r="6395" spans="1:19" s="9" customFormat="1" x14ac:dyDescent="0.25">
      <c r="A6395" s="10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  <c r="Q6395" s="11"/>
      <c r="R6395" s="11"/>
      <c r="S6395" s="11"/>
    </row>
    <row r="6396" spans="1:19" s="9" customFormat="1" x14ac:dyDescent="0.25">
      <c r="A6396" s="10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  <c r="Q6396" s="11"/>
      <c r="R6396" s="11"/>
      <c r="S6396" s="11"/>
    </row>
    <row r="6397" spans="1:19" s="9" customFormat="1" x14ac:dyDescent="0.25">
      <c r="A6397" s="10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  <c r="Q6397" s="11"/>
      <c r="R6397" s="11"/>
      <c r="S6397" s="11"/>
    </row>
    <row r="6398" spans="1:19" s="9" customFormat="1" x14ac:dyDescent="0.25">
      <c r="A6398" s="10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  <c r="Q6398" s="11"/>
      <c r="R6398" s="11"/>
      <c r="S6398" s="11"/>
    </row>
    <row r="6399" spans="1:19" s="9" customFormat="1" x14ac:dyDescent="0.25">
      <c r="A6399" s="10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  <c r="Q6399" s="11"/>
      <c r="R6399" s="11"/>
      <c r="S6399" s="11"/>
    </row>
    <row r="6400" spans="1:19" s="9" customFormat="1" x14ac:dyDescent="0.25">
      <c r="A6400" s="10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  <c r="Q6400" s="11"/>
      <c r="R6400" s="11"/>
      <c r="S6400" s="11"/>
    </row>
    <row r="6401" spans="1:19" s="9" customFormat="1" x14ac:dyDescent="0.25">
      <c r="A6401" s="10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  <c r="Q6401" s="11"/>
      <c r="R6401" s="11"/>
      <c r="S6401" s="11"/>
    </row>
    <row r="6402" spans="1:19" s="9" customFormat="1" x14ac:dyDescent="0.25">
      <c r="A6402" s="10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  <c r="Q6402" s="11"/>
      <c r="R6402" s="11"/>
      <c r="S6402" s="11"/>
    </row>
    <row r="6403" spans="1:19" s="9" customFormat="1" x14ac:dyDescent="0.25">
      <c r="A6403" s="10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  <c r="Q6403" s="11"/>
      <c r="R6403" s="11"/>
      <c r="S6403" s="11"/>
    </row>
    <row r="6404" spans="1:19" s="9" customFormat="1" x14ac:dyDescent="0.25">
      <c r="A6404" s="10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  <c r="Q6404" s="11"/>
      <c r="R6404" s="11"/>
      <c r="S6404" s="11"/>
    </row>
    <row r="6405" spans="1:19" s="9" customFormat="1" x14ac:dyDescent="0.25">
      <c r="A6405" s="10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  <c r="Q6405" s="11"/>
      <c r="R6405" s="11"/>
      <c r="S6405" s="11"/>
    </row>
    <row r="6406" spans="1:19" s="9" customFormat="1" x14ac:dyDescent="0.25">
      <c r="A6406" s="10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  <c r="Q6406" s="11"/>
      <c r="R6406" s="11"/>
      <c r="S6406" s="11"/>
    </row>
    <row r="6407" spans="1:19" s="9" customFormat="1" x14ac:dyDescent="0.25">
      <c r="A6407" s="10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  <c r="Q6407" s="11"/>
      <c r="R6407" s="11"/>
      <c r="S6407" s="11"/>
    </row>
    <row r="6408" spans="1:19" s="9" customFormat="1" x14ac:dyDescent="0.25">
      <c r="A6408" s="10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  <c r="Q6408" s="11"/>
      <c r="R6408" s="11"/>
      <c r="S6408" s="11"/>
    </row>
    <row r="6409" spans="1:19" s="9" customFormat="1" x14ac:dyDescent="0.25">
      <c r="A6409" s="10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  <c r="Q6409" s="11"/>
      <c r="R6409" s="11"/>
      <c r="S6409" s="11"/>
    </row>
    <row r="6410" spans="1:19" s="9" customFormat="1" x14ac:dyDescent="0.25">
      <c r="A6410" s="10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  <c r="Q6410" s="11"/>
      <c r="R6410" s="11"/>
      <c r="S6410" s="11"/>
    </row>
    <row r="6411" spans="1:19" s="9" customFormat="1" x14ac:dyDescent="0.25">
      <c r="A6411" s="10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  <c r="Q6411" s="11"/>
      <c r="R6411" s="11"/>
      <c r="S6411" s="11"/>
    </row>
    <row r="6412" spans="1:19" s="9" customFormat="1" x14ac:dyDescent="0.25">
      <c r="A6412" s="10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  <c r="Q6412" s="11"/>
      <c r="R6412" s="11"/>
      <c r="S6412" s="11"/>
    </row>
    <row r="6413" spans="1:19" s="9" customFormat="1" x14ac:dyDescent="0.25">
      <c r="A6413" s="10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  <c r="Q6413" s="11"/>
      <c r="R6413" s="11"/>
      <c r="S6413" s="11"/>
    </row>
    <row r="6414" spans="1:19" s="9" customFormat="1" x14ac:dyDescent="0.25">
      <c r="A6414" s="10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  <c r="Q6414" s="11"/>
      <c r="R6414" s="11"/>
      <c r="S6414" s="11"/>
    </row>
    <row r="6415" spans="1:19" s="9" customFormat="1" x14ac:dyDescent="0.25">
      <c r="A6415" s="10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  <c r="Q6415" s="11"/>
      <c r="R6415" s="11"/>
      <c r="S6415" s="11"/>
    </row>
    <row r="6416" spans="1:19" s="9" customFormat="1" x14ac:dyDescent="0.25">
      <c r="A6416" s="10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  <c r="Q6416" s="11"/>
      <c r="R6416" s="11"/>
      <c r="S6416" s="11"/>
    </row>
    <row r="6417" spans="1:19" s="9" customFormat="1" x14ac:dyDescent="0.25">
      <c r="A6417" s="10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  <c r="Q6417" s="11"/>
      <c r="R6417" s="11"/>
      <c r="S6417" s="11"/>
    </row>
    <row r="6418" spans="1:19" s="9" customFormat="1" x14ac:dyDescent="0.25">
      <c r="A6418" s="10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  <c r="Q6418" s="11"/>
      <c r="R6418" s="11"/>
      <c r="S6418" s="11"/>
    </row>
    <row r="6419" spans="1:19" s="9" customFormat="1" x14ac:dyDescent="0.25">
      <c r="A6419" s="10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  <c r="Q6419" s="11"/>
      <c r="R6419" s="11"/>
      <c r="S6419" s="11"/>
    </row>
    <row r="6420" spans="1:19" s="9" customFormat="1" x14ac:dyDescent="0.25">
      <c r="A6420" s="10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  <c r="Q6420" s="11"/>
      <c r="R6420" s="11"/>
      <c r="S6420" s="11"/>
    </row>
    <row r="6421" spans="1:19" s="9" customFormat="1" x14ac:dyDescent="0.25">
      <c r="A6421" s="10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  <c r="Q6421" s="11"/>
      <c r="R6421" s="11"/>
      <c r="S6421" s="11"/>
    </row>
    <row r="6422" spans="1:19" s="9" customFormat="1" x14ac:dyDescent="0.25">
      <c r="A6422" s="10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  <c r="Q6422" s="11"/>
      <c r="R6422" s="11"/>
      <c r="S6422" s="11"/>
    </row>
    <row r="6423" spans="1:19" s="9" customFormat="1" x14ac:dyDescent="0.25">
      <c r="A6423" s="10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  <c r="Q6423" s="11"/>
      <c r="R6423" s="11"/>
      <c r="S6423" s="11"/>
    </row>
    <row r="6424" spans="1:19" s="9" customFormat="1" x14ac:dyDescent="0.25">
      <c r="A6424" s="10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  <c r="Q6424" s="11"/>
      <c r="R6424" s="11"/>
      <c r="S6424" s="11"/>
    </row>
    <row r="6425" spans="1:19" s="9" customFormat="1" x14ac:dyDescent="0.25">
      <c r="A6425" s="10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  <c r="Q6425" s="11"/>
      <c r="R6425" s="11"/>
      <c r="S6425" s="11"/>
    </row>
    <row r="6426" spans="1:19" s="9" customFormat="1" x14ac:dyDescent="0.25">
      <c r="A6426" s="10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  <c r="Q6426" s="11"/>
      <c r="R6426" s="11"/>
      <c r="S6426" s="11"/>
    </row>
    <row r="6427" spans="1:19" s="9" customFormat="1" x14ac:dyDescent="0.25">
      <c r="A6427" s="10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  <c r="Q6427" s="11"/>
      <c r="R6427" s="11"/>
      <c r="S6427" s="11"/>
    </row>
    <row r="6428" spans="1:19" s="9" customFormat="1" x14ac:dyDescent="0.25">
      <c r="A6428" s="10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  <c r="Q6428" s="11"/>
      <c r="R6428" s="11"/>
      <c r="S6428" s="11"/>
    </row>
    <row r="6429" spans="1:19" s="9" customFormat="1" x14ac:dyDescent="0.25">
      <c r="A6429" s="10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  <c r="Q6429" s="11"/>
      <c r="R6429" s="11"/>
      <c r="S6429" s="11"/>
    </row>
    <row r="6430" spans="1:19" s="9" customFormat="1" x14ac:dyDescent="0.25">
      <c r="A6430" s="10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  <c r="Q6430" s="11"/>
      <c r="R6430" s="11"/>
      <c r="S6430" s="11"/>
    </row>
    <row r="6431" spans="1:19" s="9" customFormat="1" x14ac:dyDescent="0.25">
      <c r="A6431" s="10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  <c r="Q6431" s="11"/>
      <c r="R6431" s="11"/>
      <c r="S6431" s="11"/>
    </row>
    <row r="6432" spans="1:19" s="9" customFormat="1" x14ac:dyDescent="0.25">
      <c r="A6432" s="10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  <c r="Q6432" s="11"/>
      <c r="R6432" s="11"/>
      <c r="S6432" s="11"/>
    </row>
    <row r="6433" spans="1:19" s="9" customFormat="1" x14ac:dyDescent="0.25">
      <c r="A6433" s="10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  <c r="Q6433" s="11"/>
      <c r="R6433" s="11"/>
      <c r="S6433" s="11"/>
    </row>
    <row r="6434" spans="1:19" s="9" customFormat="1" x14ac:dyDescent="0.25">
      <c r="A6434" s="10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  <c r="Q6434" s="11"/>
      <c r="R6434" s="11"/>
      <c r="S6434" s="11"/>
    </row>
    <row r="6435" spans="1:19" s="9" customFormat="1" x14ac:dyDescent="0.25">
      <c r="A6435" s="10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  <c r="Q6435" s="11"/>
      <c r="R6435" s="11"/>
      <c r="S6435" s="11"/>
    </row>
    <row r="6436" spans="1:19" s="9" customFormat="1" x14ac:dyDescent="0.25">
      <c r="A6436" s="10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  <c r="Q6436" s="11"/>
      <c r="R6436" s="11"/>
      <c r="S6436" s="11"/>
    </row>
    <row r="6437" spans="1:19" s="9" customFormat="1" x14ac:dyDescent="0.25">
      <c r="A6437" s="10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  <c r="Q6437" s="11"/>
      <c r="R6437" s="11"/>
      <c r="S6437" s="11"/>
    </row>
    <row r="6438" spans="1:19" s="9" customFormat="1" x14ac:dyDescent="0.25">
      <c r="A6438" s="10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  <c r="Q6438" s="11"/>
      <c r="R6438" s="11"/>
      <c r="S6438" s="11"/>
    </row>
    <row r="6439" spans="1:19" s="9" customFormat="1" x14ac:dyDescent="0.25">
      <c r="A6439" s="10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  <c r="Q6439" s="11"/>
      <c r="R6439" s="11"/>
      <c r="S6439" s="11"/>
    </row>
    <row r="6440" spans="1:19" s="9" customFormat="1" x14ac:dyDescent="0.25">
      <c r="A6440" s="10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  <c r="Q6440" s="11"/>
      <c r="R6440" s="11"/>
      <c r="S6440" s="11"/>
    </row>
    <row r="6441" spans="1:19" s="9" customFormat="1" x14ac:dyDescent="0.25">
      <c r="A6441" s="10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  <c r="Q6441" s="11"/>
      <c r="R6441" s="11"/>
      <c r="S6441" s="11"/>
    </row>
    <row r="6442" spans="1:19" s="9" customFormat="1" x14ac:dyDescent="0.25">
      <c r="A6442" s="10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  <c r="Q6442" s="11"/>
      <c r="R6442" s="11"/>
      <c r="S6442" s="11"/>
    </row>
    <row r="6443" spans="1:19" s="9" customFormat="1" x14ac:dyDescent="0.25">
      <c r="A6443" s="10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  <c r="Q6443" s="11"/>
      <c r="R6443" s="11"/>
      <c r="S6443" s="11"/>
    </row>
    <row r="6444" spans="1:19" s="9" customFormat="1" x14ac:dyDescent="0.25">
      <c r="A6444" s="10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  <c r="Q6444" s="11"/>
      <c r="R6444" s="11"/>
      <c r="S6444" s="11"/>
    </row>
    <row r="6445" spans="1:19" s="9" customFormat="1" x14ac:dyDescent="0.25">
      <c r="A6445" s="10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  <c r="Q6445" s="11"/>
      <c r="R6445" s="11"/>
      <c r="S6445" s="11"/>
    </row>
    <row r="6446" spans="1:19" s="9" customFormat="1" x14ac:dyDescent="0.25">
      <c r="A6446" s="10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  <c r="Q6446" s="11"/>
      <c r="R6446" s="11"/>
      <c r="S6446" s="11"/>
    </row>
    <row r="6447" spans="1:19" s="9" customFormat="1" x14ac:dyDescent="0.25">
      <c r="A6447" s="10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  <c r="Q6447" s="11"/>
      <c r="R6447" s="11"/>
      <c r="S6447" s="11"/>
    </row>
    <row r="6448" spans="1:19" s="9" customFormat="1" x14ac:dyDescent="0.25">
      <c r="A6448" s="10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  <c r="Q6448" s="11"/>
      <c r="R6448" s="11"/>
      <c r="S6448" s="11"/>
    </row>
    <row r="6449" spans="1:19" s="9" customFormat="1" x14ac:dyDescent="0.25">
      <c r="A6449" s="10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  <c r="Q6449" s="11"/>
      <c r="R6449" s="11"/>
      <c r="S6449" s="11"/>
    </row>
    <row r="6450" spans="1:19" s="9" customFormat="1" x14ac:dyDescent="0.25">
      <c r="A6450" s="10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  <c r="Q6450" s="11"/>
      <c r="R6450" s="11"/>
      <c r="S6450" s="11"/>
    </row>
    <row r="6451" spans="1:19" s="9" customFormat="1" x14ac:dyDescent="0.25">
      <c r="A6451" s="10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  <c r="Q6451" s="11"/>
      <c r="R6451" s="11"/>
      <c r="S6451" s="11"/>
    </row>
    <row r="6452" spans="1:19" s="9" customFormat="1" x14ac:dyDescent="0.25">
      <c r="A6452" s="10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  <c r="Q6452" s="11"/>
      <c r="R6452" s="11"/>
      <c r="S6452" s="11"/>
    </row>
    <row r="6453" spans="1:19" s="9" customFormat="1" x14ac:dyDescent="0.25">
      <c r="A6453" s="10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  <c r="Q6453" s="11"/>
      <c r="R6453" s="11"/>
      <c r="S6453" s="11"/>
    </row>
    <row r="6454" spans="1:19" s="9" customFormat="1" x14ac:dyDescent="0.25">
      <c r="A6454" s="10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  <c r="Q6454" s="11"/>
      <c r="R6454" s="11"/>
      <c r="S6454" s="11"/>
    </row>
    <row r="6455" spans="1:19" s="9" customFormat="1" x14ac:dyDescent="0.25">
      <c r="A6455" s="10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  <c r="Q6455" s="11"/>
      <c r="R6455" s="11"/>
      <c r="S6455" s="11"/>
    </row>
    <row r="6456" spans="1:19" s="9" customFormat="1" x14ac:dyDescent="0.25">
      <c r="A6456" s="10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  <c r="Q6456" s="11"/>
      <c r="R6456" s="11"/>
      <c r="S6456" s="11"/>
    </row>
    <row r="6457" spans="1:19" s="9" customFormat="1" x14ac:dyDescent="0.25">
      <c r="A6457" s="10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  <c r="Q6457" s="11"/>
      <c r="R6457" s="11"/>
      <c r="S6457" s="11"/>
    </row>
    <row r="6458" spans="1:19" s="9" customFormat="1" x14ac:dyDescent="0.25">
      <c r="A6458" s="10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  <c r="Q6458" s="11"/>
      <c r="R6458" s="11"/>
      <c r="S6458" s="11"/>
    </row>
    <row r="6459" spans="1:19" s="9" customFormat="1" x14ac:dyDescent="0.25">
      <c r="A6459" s="10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  <c r="Q6459" s="11"/>
      <c r="R6459" s="11"/>
      <c r="S6459" s="11"/>
    </row>
    <row r="6460" spans="1:19" s="9" customFormat="1" x14ac:dyDescent="0.25">
      <c r="A6460" s="10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  <c r="Q6460" s="11"/>
      <c r="R6460" s="11"/>
      <c r="S6460" s="11"/>
    </row>
    <row r="6461" spans="1:19" s="9" customFormat="1" x14ac:dyDescent="0.25">
      <c r="A6461" s="10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  <c r="Q6461" s="11"/>
      <c r="R6461" s="11"/>
      <c r="S6461" s="11"/>
    </row>
    <row r="6462" spans="1:19" s="9" customFormat="1" x14ac:dyDescent="0.25">
      <c r="A6462" s="10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  <c r="Q6462" s="11"/>
      <c r="R6462" s="11"/>
      <c r="S6462" s="11"/>
    </row>
    <row r="6463" spans="1:19" s="9" customFormat="1" x14ac:dyDescent="0.25">
      <c r="A6463" s="10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  <c r="Q6463" s="11"/>
      <c r="R6463" s="11"/>
      <c r="S6463" s="11"/>
    </row>
    <row r="6464" spans="1:19" s="9" customFormat="1" x14ac:dyDescent="0.25">
      <c r="A6464" s="10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  <c r="Q6464" s="11"/>
      <c r="R6464" s="11"/>
      <c r="S6464" s="11"/>
    </row>
    <row r="6465" spans="1:19" s="9" customFormat="1" x14ac:dyDescent="0.25">
      <c r="A6465" s="10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  <c r="Q6465" s="11"/>
      <c r="R6465" s="11"/>
      <c r="S6465" s="11"/>
    </row>
    <row r="6466" spans="1:19" s="9" customFormat="1" x14ac:dyDescent="0.25">
      <c r="A6466" s="10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  <c r="Q6466" s="11"/>
      <c r="R6466" s="11"/>
      <c r="S6466" s="11"/>
    </row>
    <row r="6467" spans="1:19" s="9" customFormat="1" x14ac:dyDescent="0.25">
      <c r="A6467" s="10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  <c r="Q6467" s="11"/>
      <c r="R6467" s="11"/>
      <c r="S6467" s="11"/>
    </row>
    <row r="6468" spans="1:19" s="9" customFormat="1" x14ac:dyDescent="0.25">
      <c r="A6468" s="10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  <c r="Q6468" s="11"/>
      <c r="R6468" s="11"/>
      <c r="S6468" s="11"/>
    </row>
    <row r="6469" spans="1:19" s="9" customFormat="1" x14ac:dyDescent="0.25">
      <c r="A6469" s="10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  <c r="Q6469" s="11"/>
      <c r="R6469" s="11"/>
      <c r="S6469" s="11"/>
    </row>
    <row r="6470" spans="1:19" s="9" customFormat="1" x14ac:dyDescent="0.25">
      <c r="A6470" s="10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  <c r="Q6470" s="11"/>
      <c r="R6470" s="11"/>
      <c r="S6470" s="11"/>
    </row>
    <row r="6471" spans="1:19" s="9" customFormat="1" x14ac:dyDescent="0.25">
      <c r="A6471" s="10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  <c r="Q6471" s="11"/>
      <c r="R6471" s="11"/>
      <c r="S6471" s="11"/>
    </row>
    <row r="6472" spans="1:19" s="9" customFormat="1" x14ac:dyDescent="0.25">
      <c r="A6472" s="10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  <c r="Q6472" s="11"/>
      <c r="R6472" s="11"/>
      <c r="S6472" s="11"/>
    </row>
    <row r="6473" spans="1:19" s="9" customFormat="1" x14ac:dyDescent="0.25">
      <c r="A6473" s="10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  <c r="Q6473" s="11"/>
      <c r="R6473" s="11"/>
      <c r="S6473" s="11"/>
    </row>
    <row r="6474" spans="1:19" s="9" customFormat="1" x14ac:dyDescent="0.25">
      <c r="A6474" s="10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  <c r="Q6474" s="11"/>
      <c r="R6474" s="11"/>
      <c r="S6474" s="11"/>
    </row>
    <row r="6475" spans="1:19" s="9" customFormat="1" x14ac:dyDescent="0.25">
      <c r="A6475" s="10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  <c r="Q6475" s="11"/>
      <c r="R6475" s="11"/>
      <c r="S6475" s="11"/>
    </row>
    <row r="6476" spans="1:19" s="9" customFormat="1" x14ac:dyDescent="0.25">
      <c r="A6476" s="10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  <c r="Q6476" s="11"/>
      <c r="R6476" s="11"/>
      <c r="S6476" s="11"/>
    </row>
    <row r="6477" spans="1:19" s="9" customFormat="1" x14ac:dyDescent="0.25">
      <c r="A6477" s="10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  <c r="Q6477" s="11"/>
      <c r="R6477" s="11"/>
      <c r="S6477" s="11"/>
    </row>
    <row r="6478" spans="1:19" s="9" customFormat="1" x14ac:dyDescent="0.25">
      <c r="A6478" s="10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  <c r="Q6478" s="11"/>
      <c r="R6478" s="11"/>
      <c r="S6478" s="11"/>
    </row>
    <row r="6479" spans="1:19" s="9" customFormat="1" x14ac:dyDescent="0.25">
      <c r="A6479" s="10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  <c r="Q6479" s="11"/>
      <c r="R6479" s="11"/>
      <c r="S6479" s="11"/>
    </row>
    <row r="6480" spans="1:19" s="9" customFormat="1" x14ac:dyDescent="0.25">
      <c r="A6480" s="10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  <c r="Q6480" s="11"/>
      <c r="R6480" s="11"/>
      <c r="S6480" s="11"/>
    </row>
    <row r="6481" spans="1:19" s="9" customFormat="1" x14ac:dyDescent="0.25">
      <c r="A6481" s="10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  <c r="Q6481" s="11"/>
      <c r="R6481" s="11"/>
      <c r="S6481" s="11"/>
    </row>
    <row r="6482" spans="1:19" s="9" customFormat="1" x14ac:dyDescent="0.25">
      <c r="A6482" s="10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  <c r="Q6482" s="11"/>
      <c r="R6482" s="11"/>
      <c r="S6482" s="11"/>
    </row>
    <row r="6483" spans="1:19" s="9" customFormat="1" x14ac:dyDescent="0.25">
      <c r="A6483" s="10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  <c r="Q6483" s="11"/>
      <c r="R6483" s="11"/>
      <c r="S6483" s="11"/>
    </row>
    <row r="6484" spans="1:19" s="9" customFormat="1" x14ac:dyDescent="0.25">
      <c r="A6484" s="10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  <c r="Q6484" s="11"/>
      <c r="R6484" s="11"/>
      <c r="S6484" s="11"/>
    </row>
    <row r="6485" spans="1:19" s="9" customFormat="1" x14ac:dyDescent="0.25">
      <c r="A6485" s="10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  <c r="Q6485" s="11"/>
      <c r="R6485" s="11"/>
      <c r="S6485" s="11"/>
    </row>
    <row r="6486" spans="1:19" s="9" customFormat="1" x14ac:dyDescent="0.25">
      <c r="A6486" s="10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  <c r="Q6486" s="11"/>
      <c r="R6486" s="11"/>
      <c r="S6486" s="11"/>
    </row>
    <row r="6487" spans="1:19" s="9" customFormat="1" x14ac:dyDescent="0.25">
      <c r="A6487" s="10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  <c r="Q6487" s="11"/>
      <c r="R6487" s="11"/>
      <c r="S6487" s="11"/>
    </row>
    <row r="6488" spans="1:19" s="9" customFormat="1" x14ac:dyDescent="0.25">
      <c r="A6488" s="10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  <c r="Q6488" s="11"/>
      <c r="R6488" s="11"/>
      <c r="S6488" s="11"/>
    </row>
    <row r="6489" spans="1:19" s="9" customFormat="1" x14ac:dyDescent="0.25">
      <c r="A6489" s="10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  <c r="Q6489" s="11"/>
      <c r="R6489" s="11"/>
      <c r="S6489" s="11"/>
    </row>
    <row r="6490" spans="1:19" s="9" customFormat="1" x14ac:dyDescent="0.25">
      <c r="A6490" s="10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  <c r="Q6490" s="11"/>
      <c r="R6490" s="11"/>
      <c r="S6490" s="11"/>
    </row>
    <row r="6491" spans="1:19" s="9" customFormat="1" x14ac:dyDescent="0.25">
      <c r="A6491" s="10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  <c r="Q6491" s="11"/>
      <c r="R6491" s="11"/>
      <c r="S6491" s="11"/>
    </row>
    <row r="6492" spans="1:19" s="9" customFormat="1" x14ac:dyDescent="0.25">
      <c r="A6492" s="10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  <c r="Q6492" s="11"/>
      <c r="R6492" s="11"/>
      <c r="S6492" s="11"/>
    </row>
    <row r="6493" spans="1:19" s="9" customFormat="1" x14ac:dyDescent="0.25">
      <c r="A6493" s="10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  <c r="Q6493" s="11"/>
      <c r="R6493" s="11"/>
      <c r="S6493" s="11"/>
    </row>
    <row r="6494" spans="1:19" s="9" customFormat="1" x14ac:dyDescent="0.25">
      <c r="A6494" s="10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  <c r="Q6494" s="11"/>
      <c r="R6494" s="11"/>
      <c r="S6494" s="11"/>
    </row>
    <row r="6495" spans="1:19" s="9" customFormat="1" x14ac:dyDescent="0.25">
      <c r="A6495" s="10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  <c r="Q6495" s="11"/>
      <c r="R6495" s="11"/>
      <c r="S6495" s="11"/>
    </row>
    <row r="6496" spans="1:19" s="9" customFormat="1" x14ac:dyDescent="0.25">
      <c r="A6496" s="10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  <c r="Q6496" s="11"/>
      <c r="R6496" s="11"/>
      <c r="S6496" s="11"/>
    </row>
    <row r="6497" spans="1:19" s="9" customFormat="1" x14ac:dyDescent="0.25">
      <c r="A6497" s="10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  <c r="Q6497" s="11"/>
      <c r="R6497" s="11"/>
      <c r="S6497" s="11"/>
    </row>
    <row r="6498" spans="1:19" s="9" customFormat="1" x14ac:dyDescent="0.25">
      <c r="A6498" s="10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  <c r="Q6498" s="11"/>
      <c r="R6498" s="11"/>
      <c r="S6498" s="11"/>
    </row>
    <row r="6499" spans="1:19" s="9" customFormat="1" x14ac:dyDescent="0.25">
      <c r="A6499" s="10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  <c r="Q6499" s="11"/>
      <c r="R6499" s="11"/>
      <c r="S6499" s="11"/>
    </row>
    <row r="6500" spans="1:19" s="9" customFormat="1" x14ac:dyDescent="0.25">
      <c r="A6500" s="10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  <c r="Q6500" s="11"/>
      <c r="R6500" s="11"/>
      <c r="S6500" s="11"/>
    </row>
    <row r="6501" spans="1:19" s="9" customFormat="1" x14ac:dyDescent="0.25">
      <c r="A6501" s="10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  <c r="Q6501" s="11"/>
      <c r="R6501" s="11"/>
      <c r="S6501" s="11"/>
    </row>
    <row r="6502" spans="1:19" s="9" customFormat="1" x14ac:dyDescent="0.25">
      <c r="A6502" s="10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  <c r="Q6502" s="11"/>
      <c r="R6502" s="11"/>
      <c r="S6502" s="11"/>
    </row>
    <row r="6503" spans="1:19" s="9" customFormat="1" x14ac:dyDescent="0.25">
      <c r="A6503" s="10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  <c r="Q6503" s="11"/>
      <c r="R6503" s="11"/>
      <c r="S6503" s="11"/>
    </row>
    <row r="6504" spans="1:19" s="9" customFormat="1" x14ac:dyDescent="0.25">
      <c r="A6504" s="10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  <c r="Q6504" s="11"/>
      <c r="R6504" s="11"/>
      <c r="S6504" s="11"/>
    </row>
    <row r="6505" spans="1:19" s="9" customFormat="1" x14ac:dyDescent="0.25">
      <c r="A6505" s="10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  <c r="Q6505" s="11"/>
      <c r="R6505" s="11"/>
      <c r="S6505" s="11"/>
    </row>
    <row r="6506" spans="1:19" s="9" customFormat="1" x14ac:dyDescent="0.25">
      <c r="A6506" s="10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  <c r="Q6506" s="11"/>
      <c r="R6506" s="11"/>
      <c r="S6506" s="11"/>
    </row>
    <row r="6507" spans="1:19" s="9" customFormat="1" x14ac:dyDescent="0.25">
      <c r="A6507" s="10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  <c r="Q6507" s="11"/>
      <c r="R6507" s="11"/>
      <c r="S6507" s="11"/>
    </row>
    <row r="6508" spans="1:19" s="9" customFormat="1" x14ac:dyDescent="0.25">
      <c r="A6508" s="10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  <c r="Q6508" s="11"/>
      <c r="R6508" s="11"/>
      <c r="S6508" s="11"/>
    </row>
    <row r="6509" spans="1:19" s="9" customFormat="1" x14ac:dyDescent="0.25">
      <c r="A6509" s="10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  <c r="Q6509" s="11"/>
      <c r="R6509" s="11"/>
      <c r="S6509" s="11"/>
    </row>
    <row r="6510" spans="1:19" s="9" customFormat="1" x14ac:dyDescent="0.25">
      <c r="A6510" s="10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  <c r="Q6510" s="11"/>
      <c r="R6510" s="11"/>
      <c r="S6510" s="11"/>
    </row>
    <row r="6511" spans="1:19" s="9" customFormat="1" x14ac:dyDescent="0.25">
      <c r="A6511" s="10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  <c r="Q6511" s="11"/>
      <c r="R6511" s="11"/>
      <c r="S6511" s="11"/>
    </row>
    <row r="6512" spans="1:19" s="9" customFormat="1" x14ac:dyDescent="0.25">
      <c r="A6512" s="10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  <c r="Q6512" s="11"/>
      <c r="R6512" s="11"/>
      <c r="S6512" s="11"/>
    </row>
    <row r="6513" spans="1:19" s="9" customFormat="1" x14ac:dyDescent="0.25">
      <c r="A6513" s="10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  <c r="Q6513" s="11"/>
      <c r="R6513" s="11"/>
      <c r="S6513" s="11"/>
    </row>
    <row r="6514" spans="1:19" s="9" customFormat="1" x14ac:dyDescent="0.25">
      <c r="A6514" s="10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  <c r="Q6514" s="11"/>
      <c r="R6514" s="11"/>
      <c r="S6514" s="11"/>
    </row>
    <row r="6515" spans="1:19" s="9" customFormat="1" x14ac:dyDescent="0.25">
      <c r="A6515" s="10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  <c r="Q6515" s="11"/>
      <c r="R6515" s="11"/>
      <c r="S6515" s="11"/>
    </row>
    <row r="6516" spans="1:19" s="9" customFormat="1" x14ac:dyDescent="0.25">
      <c r="A6516" s="10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  <c r="Q6516" s="11"/>
      <c r="R6516" s="11"/>
      <c r="S6516" s="11"/>
    </row>
    <row r="6517" spans="1:19" s="9" customFormat="1" x14ac:dyDescent="0.25">
      <c r="A6517" s="10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  <c r="Q6517" s="11"/>
      <c r="R6517" s="11"/>
      <c r="S6517" s="11"/>
    </row>
    <row r="6518" spans="1:19" s="9" customFormat="1" x14ac:dyDescent="0.25">
      <c r="A6518" s="10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  <c r="Q6518" s="11"/>
      <c r="R6518" s="11"/>
      <c r="S6518" s="11"/>
    </row>
    <row r="6519" spans="1:19" s="9" customFormat="1" x14ac:dyDescent="0.25">
      <c r="A6519" s="10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  <c r="Q6519" s="11"/>
      <c r="R6519" s="11"/>
      <c r="S6519" s="11"/>
    </row>
    <row r="6520" spans="1:19" s="9" customFormat="1" x14ac:dyDescent="0.25">
      <c r="A6520" s="10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  <c r="Q6520" s="11"/>
      <c r="R6520" s="11"/>
      <c r="S6520" s="11"/>
    </row>
    <row r="6521" spans="1:19" s="9" customFormat="1" x14ac:dyDescent="0.25">
      <c r="A6521" s="10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  <c r="Q6521" s="11"/>
      <c r="R6521" s="11"/>
      <c r="S6521" s="11"/>
    </row>
    <row r="6522" spans="1:19" s="9" customFormat="1" x14ac:dyDescent="0.25">
      <c r="A6522" s="10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  <c r="Q6522" s="11"/>
      <c r="R6522" s="11"/>
      <c r="S6522" s="11"/>
    </row>
    <row r="6523" spans="1:19" s="9" customFormat="1" x14ac:dyDescent="0.25">
      <c r="A6523" s="10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  <c r="Q6523" s="11"/>
      <c r="R6523" s="11"/>
      <c r="S6523" s="11"/>
    </row>
    <row r="6524" spans="1:19" s="9" customFormat="1" x14ac:dyDescent="0.25">
      <c r="A6524" s="10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  <c r="Q6524" s="11"/>
      <c r="R6524" s="11"/>
      <c r="S6524" s="11"/>
    </row>
    <row r="6525" spans="1:19" s="9" customFormat="1" x14ac:dyDescent="0.25">
      <c r="A6525" s="10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  <c r="Q6525" s="11"/>
      <c r="R6525" s="11"/>
      <c r="S6525" s="11"/>
    </row>
    <row r="6526" spans="1:19" s="9" customFormat="1" x14ac:dyDescent="0.25">
      <c r="A6526" s="10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  <c r="Q6526" s="11"/>
      <c r="R6526" s="11"/>
      <c r="S6526" s="11"/>
    </row>
    <row r="6527" spans="1:19" s="9" customFormat="1" x14ac:dyDescent="0.25">
      <c r="A6527" s="10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  <c r="Q6527" s="11"/>
      <c r="R6527" s="11"/>
      <c r="S6527" s="11"/>
    </row>
    <row r="6528" spans="1:19" s="9" customFormat="1" x14ac:dyDescent="0.25">
      <c r="A6528" s="10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  <c r="Q6528" s="11"/>
      <c r="R6528" s="11"/>
      <c r="S6528" s="11"/>
    </row>
    <row r="6529" spans="1:19" s="9" customFormat="1" x14ac:dyDescent="0.25">
      <c r="A6529" s="10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  <c r="Q6529" s="11"/>
      <c r="R6529" s="11"/>
      <c r="S6529" s="11"/>
    </row>
    <row r="6530" spans="1:19" s="9" customFormat="1" x14ac:dyDescent="0.25">
      <c r="A6530" s="10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  <c r="Q6530" s="11"/>
      <c r="R6530" s="11"/>
      <c r="S6530" s="11"/>
    </row>
    <row r="6531" spans="1:19" s="9" customFormat="1" x14ac:dyDescent="0.25">
      <c r="A6531" s="10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  <c r="Q6531" s="11"/>
      <c r="R6531" s="11"/>
      <c r="S6531" s="11"/>
    </row>
    <row r="6532" spans="1:19" s="9" customFormat="1" x14ac:dyDescent="0.25">
      <c r="A6532" s="10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  <c r="Q6532" s="11"/>
      <c r="R6532" s="11"/>
      <c r="S6532" s="11"/>
    </row>
    <row r="6533" spans="1:19" s="9" customFormat="1" x14ac:dyDescent="0.25">
      <c r="A6533" s="10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  <c r="Q6533" s="11"/>
      <c r="R6533" s="11"/>
      <c r="S6533" s="11"/>
    </row>
    <row r="6534" spans="1:19" s="9" customFormat="1" x14ac:dyDescent="0.25">
      <c r="A6534" s="10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  <c r="Q6534" s="11"/>
      <c r="R6534" s="11"/>
      <c r="S6534" s="11"/>
    </row>
    <row r="6535" spans="1:19" s="9" customFormat="1" x14ac:dyDescent="0.25">
      <c r="A6535" s="10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  <c r="Q6535" s="11"/>
      <c r="R6535" s="11"/>
      <c r="S6535" s="11"/>
    </row>
    <row r="6536" spans="1:19" s="9" customFormat="1" x14ac:dyDescent="0.25">
      <c r="A6536" s="10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  <c r="Q6536" s="11"/>
      <c r="R6536" s="11"/>
      <c r="S6536" s="11"/>
    </row>
    <row r="6537" spans="1:19" s="9" customFormat="1" x14ac:dyDescent="0.25">
      <c r="A6537" s="10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  <c r="Q6537" s="11"/>
      <c r="R6537" s="11"/>
      <c r="S6537" s="11"/>
    </row>
    <row r="6538" spans="1:19" s="9" customFormat="1" x14ac:dyDescent="0.25">
      <c r="A6538" s="10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  <c r="Q6538" s="11"/>
      <c r="R6538" s="11"/>
      <c r="S6538" s="11"/>
    </row>
    <row r="6539" spans="1:19" s="9" customFormat="1" x14ac:dyDescent="0.25">
      <c r="A6539" s="10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  <c r="Q6539" s="11"/>
      <c r="R6539" s="11"/>
      <c r="S6539" s="11"/>
    </row>
    <row r="6540" spans="1:19" s="9" customFormat="1" x14ac:dyDescent="0.25">
      <c r="A6540" s="10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  <c r="Q6540" s="11"/>
      <c r="R6540" s="11"/>
      <c r="S6540" s="11"/>
    </row>
    <row r="6541" spans="1:19" s="9" customFormat="1" x14ac:dyDescent="0.25">
      <c r="A6541" s="10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  <c r="Q6541" s="11"/>
      <c r="R6541" s="11"/>
      <c r="S6541" s="11"/>
    </row>
    <row r="6542" spans="1:19" s="9" customFormat="1" x14ac:dyDescent="0.25">
      <c r="A6542" s="10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  <c r="Q6542" s="11"/>
      <c r="R6542" s="11"/>
      <c r="S6542" s="11"/>
    </row>
    <row r="6543" spans="1:19" s="9" customFormat="1" x14ac:dyDescent="0.25">
      <c r="A6543" s="10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  <c r="Q6543" s="11"/>
      <c r="R6543" s="11"/>
      <c r="S6543" s="11"/>
    </row>
    <row r="6544" spans="1:19" s="9" customFormat="1" x14ac:dyDescent="0.25">
      <c r="A6544" s="10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  <c r="Q6544" s="11"/>
      <c r="R6544" s="11"/>
      <c r="S6544" s="11"/>
    </row>
    <row r="6545" spans="1:19" s="9" customFormat="1" x14ac:dyDescent="0.25">
      <c r="A6545" s="10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  <c r="Q6545" s="11"/>
      <c r="R6545" s="11"/>
      <c r="S6545" s="11"/>
    </row>
    <row r="6546" spans="1:19" s="9" customFormat="1" x14ac:dyDescent="0.25">
      <c r="A6546" s="10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  <c r="Q6546" s="11"/>
      <c r="R6546" s="11"/>
      <c r="S6546" s="11"/>
    </row>
    <row r="6547" spans="1:19" s="9" customFormat="1" x14ac:dyDescent="0.25">
      <c r="A6547" s="10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  <c r="Q6547" s="11"/>
      <c r="R6547" s="11"/>
      <c r="S6547" s="11"/>
    </row>
    <row r="6548" spans="1:19" s="9" customFormat="1" x14ac:dyDescent="0.25">
      <c r="A6548" s="10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  <c r="Q6548" s="11"/>
      <c r="R6548" s="11"/>
      <c r="S6548" s="11"/>
    </row>
    <row r="6549" spans="1:19" s="9" customFormat="1" x14ac:dyDescent="0.25">
      <c r="A6549" s="10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  <c r="Q6549" s="11"/>
      <c r="R6549" s="11"/>
      <c r="S6549" s="11"/>
    </row>
    <row r="6550" spans="1:19" s="9" customFormat="1" x14ac:dyDescent="0.25">
      <c r="A6550" s="10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  <c r="Q6550" s="11"/>
      <c r="R6550" s="11"/>
      <c r="S6550" s="11"/>
    </row>
    <row r="6551" spans="1:19" s="9" customFormat="1" x14ac:dyDescent="0.25">
      <c r="A6551" s="10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  <c r="Q6551" s="11"/>
      <c r="R6551" s="11"/>
      <c r="S6551" s="11"/>
    </row>
    <row r="6552" spans="1:19" s="9" customFormat="1" x14ac:dyDescent="0.25">
      <c r="A6552" s="10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  <c r="Q6552" s="11"/>
      <c r="R6552" s="11"/>
      <c r="S6552" s="11"/>
    </row>
    <row r="6553" spans="1:19" s="9" customFormat="1" x14ac:dyDescent="0.25">
      <c r="A6553" s="10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  <c r="Q6553" s="11"/>
      <c r="R6553" s="11"/>
      <c r="S6553" s="11"/>
    </row>
    <row r="6554" spans="1:19" s="9" customFormat="1" x14ac:dyDescent="0.25">
      <c r="A6554" s="10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  <c r="Q6554" s="11"/>
      <c r="R6554" s="11"/>
      <c r="S6554" s="11"/>
    </row>
    <row r="6555" spans="1:19" s="9" customFormat="1" x14ac:dyDescent="0.25">
      <c r="A6555" s="10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  <c r="Q6555" s="11"/>
      <c r="R6555" s="11"/>
      <c r="S6555" s="11"/>
    </row>
    <row r="6556" spans="1:19" s="9" customFormat="1" x14ac:dyDescent="0.25">
      <c r="A6556" s="10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  <c r="Q6556" s="11"/>
      <c r="R6556" s="11"/>
      <c r="S6556" s="11"/>
    </row>
    <row r="6557" spans="1:19" s="9" customFormat="1" x14ac:dyDescent="0.25">
      <c r="A6557" s="10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  <c r="Q6557" s="11"/>
      <c r="R6557" s="11"/>
      <c r="S6557" s="11"/>
    </row>
    <row r="6558" spans="1:19" s="9" customFormat="1" x14ac:dyDescent="0.25">
      <c r="A6558" s="10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  <c r="Q6558" s="11"/>
      <c r="R6558" s="11"/>
      <c r="S6558" s="11"/>
    </row>
    <row r="6559" spans="1:19" s="9" customFormat="1" x14ac:dyDescent="0.25">
      <c r="A6559" s="10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  <c r="Q6559" s="11"/>
      <c r="R6559" s="11"/>
      <c r="S6559" s="11"/>
    </row>
    <row r="6560" spans="1:19" s="9" customFormat="1" x14ac:dyDescent="0.25">
      <c r="A6560" s="10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  <c r="Q6560" s="11"/>
      <c r="R6560" s="11"/>
      <c r="S6560" s="11"/>
    </row>
    <row r="6561" spans="1:19" s="9" customFormat="1" x14ac:dyDescent="0.25">
      <c r="A6561" s="10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  <c r="Q6561" s="11"/>
      <c r="R6561" s="11"/>
      <c r="S6561" s="11"/>
    </row>
    <row r="6562" spans="1:19" s="9" customFormat="1" x14ac:dyDescent="0.25">
      <c r="A6562" s="10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  <c r="Q6562" s="11"/>
      <c r="R6562" s="11"/>
      <c r="S6562" s="11"/>
    </row>
    <row r="6563" spans="1:19" s="9" customFormat="1" x14ac:dyDescent="0.25">
      <c r="A6563" s="10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  <c r="Q6563" s="11"/>
      <c r="R6563" s="11"/>
      <c r="S6563" s="11"/>
    </row>
    <row r="6564" spans="1:19" s="9" customFormat="1" x14ac:dyDescent="0.25">
      <c r="A6564" s="10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  <c r="Q6564" s="11"/>
      <c r="R6564" s="11"/>
      <c r="S6564" s="11"/>
    </row>
    <row r="6565" spans="1:19" s="9" customFormat="1" x14ac:dyDescent="0.25">
      <c r="A6565" s="10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  <c r="Q6565" s="11"/>
      <c r="R6565" s="11"/>
      <c r="S6565" s="11"/>
    </row>
    <row r="6566" spans="1:19" s="9" customFormat="1" x14ac:dyDescent="0.25">
      <c r="A6566" s="10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  <c r="Q6566" s="11"/>
      <c r="R6566" s="11"/>
      <c r="S6566" s="11"/>
    </row>
    <row r="6567" spans="1:19" s="9" customFormat="1" x14ac:dyDescent="0.25">
      <c r="A6567" s="10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  <c r="Q6567" s="11"/>
      <c r="R6567" s="11"/>
      <c r="S6567" s="11"/>
    </row>
    <row r="6568" spans="1:19" s="9" customFormat="1" x14ac:dyDescent="0.25">
      <c r="A6568" s="10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  <c r="Q6568" s="11"/>
      <c r="R6568" s="11"/>
      <c r="S6568" s="11"/>
    </row>
    <row r="6569" spans="1:19" s="9" customFormat="1" x14ac:dyDescent="0.25">
      <c r="A6569" s="10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  <c r="Q6569" s="11"/>
      <c r="R6569" s="11"/>
      <c r="S6569" s="11"/>
    </row>
    <row r="6570" spans="1:19" s="9" customFormat="1" x14ac:dyDescent="0.25">
      <c r="A6570" s="10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  <c r="Q6570" s="11"/>
      <c r="R6570" s="11"/>
      <c r="S6570" s="11"/>
    </row>
    <row r="6571" spans="1:19" s="9" customFormat="1" x14ac:dyDescent="0.25">
      <c r="A6571" s="10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  <c r="Q6571" s="11"/>
      <c r="R6571" s="11"/>
      <c r="S6571" s="11"/>
    </row>
    <row r="6572" spans="1:19" s="9" customFormat="1" x14ac:dyDescent="0.25">
      <c r="A6572" s="10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  <c r="Q6572" s="11"/>
      <c r="R6572" s="11"/>
      <c r="S6572" s="11"/>
    </row>
    <row r="6573" spans="1:19" s="9" customFormat="1" x14ac:dyDescent="0.25">
      <c r="A6573" s="10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  <c r="Q6573" s="11"/>
      <c r="R6573" s="11"/>
      <c r="S6573" s="11"/>
    </row>
    <row r="6574" spans="1:19" s="9" customFormat="1" x14ac:dyDescent="0.25">
      <c r="A6574" s="10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  <c r="Q6574" s="11"/>
      <c r="R6574" s="11"/>
      <c r="S6574" s="11"/>
    </row>
    <row r="6575" spans="1:19" s="9" customFormat="1" x14ac:dyDescent="0.25">
      <c r="A6575" s="10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  <c r="Q6575" s="11"/>
      <c r="R6575" s="11"/>
      <c r="S6575" s="11"/>
    </row>
    <row r="6576" spans="1:19" s="9" customFormat="1" x14ac:dyDescent="0.25">
      <c r="A6576" s="10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  <c r="Q6576" s="11"/>
      <c r="R6576" s="11"/>
      <c r="S6576" s="11"/>
    </row>
    <row r="6577" spans="1:19" s="9" customFormat="1" x14ac:dyDescent="0.25">
      <c r="A6577" s="10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  <c r="Q6577" s="11"/>
      <c r="R6577" s="11"/>
      <c r="S6577" s="11"/>
    </row>
    <row r="6578" spans="1:19" s="9" customFormat="1" x14ac:dyDescent="0.25">
      <c r="A6578" s="10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  <c r="Q6578" s="11"/>
      <c r="R6578" s="11"/>
      <c r="S6578" s="11"/>
    </row>
    <row r="6579" spans="1:19" s="9" customFormat="1" x14ac:dyDescent="0.25">
      <c r="A6579" s="10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  <c r="Q6579" s="11"/>
      <c r="R6579" s="11"/>
      <c r="S6579" s="11"/>
    </row>
    <row r="6580" spans="1:19" s="9" customFormat="1" x14ac:dyDescent="0.25">
      <c r="A6580" s="10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  <c r="Q6580" s="11"/>
      <c r="R6580" s="11"/>
      <c r="S6580" s="11"/>
    </row>
    <row r="6581" spans="1:19" s="9" customFormat="1" x14ac:dyDescent="0.25">
      <c r="A6581" s="10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  <c r="Q6581" s="11"/>
      <c r="R6581" s="11"/>
      <c r="S6581" s="11"/>
    </row>
    <row r="6582" spans="1:19" s="9" customFormat="1" x14ac:dyDescent="0.25">
      <c r="A6582" s="10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  <c r="Q6582" s="11"/>
      <c r="R6582" s="11"/>
      <c r="S6582" s="11"/>
    </row>
    <row r="6583" spans="1:19" s="9" customFormat="1" x14ac:dyDescent="0.25">
      <c r="A6583" s="10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  <c r="Q6583" s="11"/>
      <c r="R6583" s="11"/>
      <c r="S6583" s="11"/>
    </row>
    <row r="6584" spans="1:19" s="9" customFormat="1" x14ac:dyDescent="0.25">
      <c r="A6584" s="10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  <c r="Q6584" s="11"/>
      <c r="R6584" s="11"/>
      <c r="S6584" s="11"/>
    </row>
    <row r="6585" spans="1:19" s="9" customFormat="1" x14ac:dyDescent="0.25">
      <c r="A6585" s="10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  <c r="Q6585" s="11"/>
      <c r="R6585" s="11"/>
      <c r="S6585" s="11"/>
    </row>
    <row r="6586" spans="1:19" s="9" customFormat="1" x14ac:dyDescent="0.25">
      <c r="A6586" s="10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  <c r="Q6586" s="11"/>
      <c r="R6586" s="11"/>
      <c r="S6586" s="11"/>
    </row>
    <row r="6587" spans="1:19" s="9" customFormat="1" x14ac:dyDescent="0.25">
      <c r="A6587" s="10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  <c r="Q6587" s="11"/>
      <c r="R6587" s="11"/>
      <c r="S6587" s="11"/>
    </row>
    <row r="6588" spans="1:19" s="9" customFormat="1" x14ac:dyDescent="0.25">
      <c r="A6588" s="10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  <c r="Q6588" s="11"/>
      <c r="R6588" s="11"/>
      <c r="S6588" s="11"/>
    </row>
    <row r="6589" spans="1:19" s="9" customFormat="1" x14ac:dyDescent="0.25">
      <c r="A6589" s="10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  <c r="Q6589" s="11"/>
      <c r="R6589" s="11"/>
      <c r="S6589" s="11"/>
    </row>
    <row r="6590" spans="1:19" s="9" customFormat="1" x14ac:dyDescent="0.25">
      <c r="A6590" s="10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  <c r="Q6590" s="11"/>
      <c r="R6590" s="11"/>
      <c r="S6590" s="11"/>
    </row>
    <row r="6591" spans="1:19" s="9" customFormat="1" x14ac:dyDescent="0.25">
      <c r="A6591" s="10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  <c r="Q6591" s="11"/>
      <c r="R6591" s="11"/>
      <c r="S6591" s="11"/>
    </row>
    <row r="6592" spans="1:19" s="9" customFormat="1" x14ac:dyDescent="0.25">
      <c r="A6592" s="10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  <c r="Q6592" s="11"/>
      <c r="R6592" s="11"/>
      <c r="S6592" s="11"/>
    </row>
    <row r="6593" spans="1:19" s="9" customFormat="1" x14ac:dyDescent="0.25">
      <c r="A6593" s="10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  <c r="Q6593" s="11"/>
      <c r="R6593" s="11"/>
      <c r="S6593" s="11"/>
    </row>
    <row r="6594" spans="1:19" s="9" customFormat="1" x14ac:dyDescent="0.25">
      <c r="A6594" s="10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  <c r="Q6594" s="11"/>
      <c r="R6594" s="11"/>
      <c r="S6594" s="11"/>
    </row>
    <row r="6595" spans="1:19" s="9" customFormat="1" x14ac:dyDescent="0.25">
      <c r="A6595" s="10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  <c r="Q6595" s="11"/>
      <c r="R6595" s="11"/>
      <c r="S6595" s="11"/>
    </row>
    <row r="6596" spans="1:19" s="9" customFormat="1" x14ac:dyDescent="0.25">
      <c r="A6596" s="10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  <c r="Q6596" s="11"/>
      <c r="R6596" s="11"/>
      <c r="S6596" s="11"/>
    </row>
    <row r="6597" spans="1:19" s="9" customFormat="1" x14ac:dyDescent="0.25">
      <c r="A6597" s="10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  <c r="Q6597" s="11"/>
      <c r="R6597" s="11"/>
      <c r="S6597" s="11"/>
    </row>
    <row r="6598" spans="1:19" s="9" customFormat="1" x14ac:dyDescent="0.25">
      <c r="A6598" s="10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  <c r="Q6598" s="11"/>
      <c r="R6598" s="11"/>
      <c r="S6598" s="11"/>
    </row>
    <row r="6599" spans="1:19" s="9" customFormat="1" x14ac:dyDescent="0.25">
      <c r="A6599" s="10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  <c r="Q6599" s="11"/>
      <c r="R6599" s="11"/>
      <c r="S6599" s="11"/>
    </row>
    <row r="6600" spans="1:19" s="9" customFormat="1" x14ac:dyDescent="0.25">
      <c r="A6600" s="10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  <c r="Q6600" s="11"/>
      <c r="R6600" s="11"/>
      <c r="S6600" s="11"/>
    </row>
    <row r="6601" spans="1:19" s="9" customFormat="1" x14ac:dyDescent="0.25">
      <c r="A6601" s="10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  <c r="Q6601" s="11"/>
      <c r="R6601" s="11"/>
      <c r="S6601" s="11"/>
    </row>
    <row r="6602" spans="1:19" s="9" customFormat="1" x14ac:dyDescent="0.25">
      <c r="A6602" s="10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  <c r="Q6602" s="11"/>
      <c r="R6602" s="11"/>
      <c r="S6602" s="11"/>
    </row>
    <row r="6603" spans="1:19" s="9" customFormat="1" x14ac:dyDescent="0.25">
      <c r="A6603" s="10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  <c r="Q6603" s="11"/>
      <c r="R6603" s="11"/>
      <c r="S6603" s="11"/>
    </row>
    <row r="6604" spans="1:19" s="9" customFormat="1" x14ac:dyDescent="0.25">
      <c r="A6604" s="10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  <c r="Q6604" s="11"/>
      <c r="R6604" s="11"/>
      <c r="S6604" s="11"/>
    </row>
    <row r="6605" spans="1:19" s="9" customFormat="1" x14ac:dyDescent="0.25">
      <c r="A6605" s="10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  <c r="Q6605" s="11"/>
      <c r="R6605" s="11"/>
      <c r="S6605" s="11"/>
    </row>
    <row r="6606" spans="1:19" s="9" customFormat="1" x14ac:dyDescent="0.25">
      <c r="A6606" s="10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  <c r="Q6606" s="11"/>
      <c r="R6606" s="11"/>
      <c r="S6606" s="11"/>
    </row>
    <row r="6607" spans="1:19" s="9" customFormat="1" x14ac:dyDescent="0.25">
      <c r="A6607" s="10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  <c r="Q6607" s="11"/>
      <c r="R6607" s="11"/>
      <c r="S6607" s="11"/>
    </row>
    <row r="6608" spans="1:19" s="9" customFormat="1" x14ac:dyDescent="0.25">
      <c r="A6608" s="10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  <c r="Q6608" s="11"/>
      <c r="R6608" s="11"/>
      <c r="S6608" s="11"/>
    </row>
    <row r="6609" spans="1:19" s="9" customFormat="1" x14ac:dyDescent="0.25">
      <c r="A6609" s="10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  <c r="Q6609" s="11"/>
      <c r="R6609" s="11"/>
      <c r="S6609" s="11"/>
    </row>
    <row r="6610" spans="1:19" s="9" customFormat="1" x14ac:dyDescent="0.25">
      <c r="A6610" s="10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  <c r="Q6610" s="11"/>
      <c r="R6610" s="11"/>
      <c r="S6610" s="11"/>
    </row>
    <row r="6611" spans="1:19" s="9" customFormat="1" x14ac:dyDescent="0.25">
      <c r="A6611" s="10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  <c r="Q6611" s="11"/>
      <c r="R6611" s="11"/>
      <c r="S6611" s="11"/>
    </row>
    <row r="6612" spans="1:19" s="9" customFormat="1" x14ac:dyDescent="0.25">
      <c r="A6612" s="10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  <c r="Q6612" s="11"/>
      <c r="R6612" s="11"/>
      <c r="S6612" s="11"/>
    </row>
    <row r="6613" spans="1:19" s="9" customFormat="1" x14ac:dyDescent="0.25">
      <c r="A6613" s="10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  <c r="Q6613" s="11"/>
      <c r="R6613" s="11"/>
      <c r="S6613" s="11"/>
    </row>
    <row r="6614" spans="1:19" s="9" customFormat="1" x14ac:dyDescent="0.25">
      <c r="A6614" s="10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  <c r="Q6614" s="11"/>
      <c r="R6614" s="11"/>
      <c r="S6614" s="11"/>
    </row>
    <row r="6615" spans="1:19" s="9" customFormat="1" x14ac:dyDescent="0.25">
      <c r="A6615" s="10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  <c r="Q6615" s="11"/>
      <c r="R6615" s="11"/>
      <c r="S6615" s="11"/>
    </row>
    <row r="6616" spans="1:19" s="9" customFormat="1" x14ac:dyDescent="0.25">
      <c r="A6616" s="10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  <c r="Q6616" s="11"/>
      <c r="R6616" s="11"/>
      <c r="S6616" s="11"/>
    </row>
    <row r="6617" spans="1:19" s="9" customFormat="1" x14ac:dyDescent="0.25">
      <c r="A6617" s="10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  <c r="Q6617" s="11"/>
      <c r="R6617" s="11"/>
      <c r="S6617" s="11"/>
    </row>
    <row r="6618" spans="1:19" s="9" customFormat="1" x14ac:dyDescent="0.25">
      <c r="A6618" s="10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  <c r="Q6618" s="11"/>
      <c r="R6618" s="11"/>
      <c r="S6618" s="11"/>
    </row>
    <row r="6619" spans="1:19" s="9" customFormat="1" x14ac:dyDescent="0.25">
      <c r="A6619" s="10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  <c r="Q6619" s="11"/>
      <c r="R6619" s="11"/>
      <c r="S6619" s="11"/>
    </row>
    <row r="6620" spans="1:19" s="9" customFormat="1" x14ac:dyDescent="0.25">
      <c r="A6620" s="10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  <c r="Q6620" s="11"/>
      <c r="R6620" s="11"/>
      <c r="S6620" s="11"/>
    </row>
    <row r="6621" spans="1:19" s="9" customFormat="1" x14ac:dyDescent="0.25">
      <c r="A6621" s="10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  <c r="Q6621" s="11"/>
      <c r="R6621" s="11"/>
      <c r="S6621" s="11"/>
    </row>
    <row r="6622" spans="1:19" s="9" customFormat="1" x14ac:dyDescent="0.25">
      <c r="A6622" s="10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  <c r="Q6622" s="11"/>
      <c r="R6622" s="11"/>
      <c r="S6622" s="11"/>
    </row>
    <row r="6623" spans="1:19" s="9" customFormat="1" x14ac:dyDescent="0.25">
      <c r="A6623" s="10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  <c r="Q6623" s="11"/>
      <c r="R6623" s="11"/>
      <c r="S6623" s="11"/>
    </row>
    <row r="6624" spans="1:19" s="9" customFormat="1" x14ac:dyDescent="0.25">
      <c r="A6624" s="10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  <c r="Q6624" s="11"/>
      <c r="R6624" s="11"/>
      <c r="S6624" s="11"/>
    </row>
    <row r="6625" spans="1:19" s="9" customFormat="1" x14ac:dyDescent="0.25">
      <c r="A6625" s="10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  <c r="Q6625" s="11"/>
      <c r="R6625" s="11"/>
      <c r="S6625" s="11"/>
    </row>
    <row r="6626" spans="1:19" s="9" customFormat="1" x14ac:dyDescent="0.25">
      <c r="A6626" s="10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  <c r="Q6626" s="11"/>
      <c r="R6626" s="11"/>
      <c r="S6626" s="11"/>
    </row>
    <row r="6627" spans="1:19" s="9" customFormat="1" x14ac:dyDescent="0.25">
      <c r="A6627" s="10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  <c r="Q6627" s="11"/>
      <c r="R6627" s="11"/>
      <c r="S6627" s="11"/>
    </row>
    <row r="6628" spans="1:19" s="9" customFormat="1" x14ac:dyDescent="0.25">
      <c r="A6628" s="10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  <c r="Q6628" s="11"/>
      <c r="R6628" s="11"/>
      <c r="S6628" s="11"/>
    </row>
    <row r="6629" spans="1:19" s="9" customFormat="1" x14ac:dyDescent="0.25">
      <c r="A6629" s="10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  <c r="Q6629" s="11"/>
      <c r="R6629" s="11"/>
      <c r="S6629" s="11"/>
    </row>
    <row r="6630" spans="1:19" s="9" customFormat="1" x14ac:dyDescent="0.25">
      <c r="A6630" s="10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  <c r="Q6630" s="11"/>
      <c r="R6630" s="11"/>
      <c r="S6630" s="11"/>
    </row>
    <row r="6631" spans="1:19" s="9" customFormat="1" x14ac:dyDescent="0.25">
      <c r="A6631" s="10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  <c r="Q6631" s="11"/>
      <c r="R6631" s="11"/>
      <c r="S6631" s="11"/>
    </row>
    <row r="6632" spans="1:19" s="9" customFormat="1" x14ac:dyDescent="0.25">
      <c r="A6632" s="10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  <c r="Q6632" s="11"/>
      <c r="R6632" s="11"/>
      <c r="S6632" s="11"/>
    </row>
    <row r="6633" spans="1:19" s="9" customFormat="1" x14ac:dyDescent="0.25">
      <c r="A6633" s="10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  <c r="Q6633" s="11"/>
      <c r="R6633" s="11"/>
      <c r="S6633" s="11"/>
    </row>
    <row r="6634" spans="1:19" s="9" customFormat="1" x14ac:dyDescent="0.25">
      <c r="A6634" s="10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  <c r="Q6634" s="11"/>
      <c r="R6634" s="11"/>
      <c r="S6634" s="11"/>
    </row>
    <row r="6635" spans="1:19" s="9" customFormat="1" x14ac:dyDescent="0.25">
      <c r="A6635" s="10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  <c r="Q6635" s="11"/>
      <c r="R6635" s="11"/>
      <c r="S6635" s="11"/>
    </row>
    <row r="6636" spans="1:19" s="9" customFormat="1" x14ac:dyDescent="0.25">
      <c r="A6636" s="10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  <c r="Q6636" s="11"/>
      <c r="R6636" s="11"/>
      <c r="S6636" s="11"/>
    </row>
    <row r="6637" spans="1:19" s="9" customFormat="1" x14ac:dyDescent="0.25">
      <c r="A6637" s="10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  <c r="Q6637" s="11"/>
      <c r="R6637" s="11"/>
      <c r="S6637" s="11"/>
    </row>
    <row r="6638" spans="1:19" s="9" customFormat="1" x14ac:dyDescent="0.25">
      <c r="A6638" s="10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  <c r="Q6638" s="11"/>
      <c r="R6638" s="11"/>
      <c r="S6638" s="11"/>
    </row>
    <row r="6639" spans="1:19" s="9" customFormat="1" x14ac:dyDescent="0.25">
      <c r="A6639" s="10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  <c r="Q6639" s="11"/>
      <c r="R6639" s="11"/>
      <c r="S6639" s="11"/>
    </row>
    <row r="6640" spans="1:19" s="9" customFormat="1" x14ac:dyDescent="0.25">
      <c r="A6640" s="10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  <c r="Q6640" s="11"/>
      <c r="R6640" s="11"/>
      <c r="S6640" s="11"/>
    </row>
    <row r="6641" spans="1:19" s="9" customFormat="1" x14ac:dyDescent="0.25">
      <c r="A6641" s="10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  <c r="Q6641" s="11"/>
      <c r="R6641" s="11"/>
      <c r="S6641" s="11"/>
    </row>
    <row r="6642" spans="1:19" s="9" customFormat="1" x14ac:dyDescent="0.25">
      <c r="A6642" s="10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  <c r="Q6642" s="11"/>
      <c r="R6642" s="11"/>
      <c r="S6642" s="11"/>
    </row>
    <row r="6643" spans="1:19" s="9" customFormat="1" x14ac:dyDescent="0.25">
      <c r="A6643" s="10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  <c r="Q6643" s="11"/>
      <c r="R6643" s="11"/>
      <c r="S6643" s="11"/>
    </row>
    <row r="6644" spans="1:19" s="9" customFormat="1" x14ac:dyDescent="0.25">
      <c r="A6644" s="10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  <c r="Q6644" s="11"/>
      <c r="R6644" s="11"/>
      <c r="S6644" s="11"/>
    </row>
    <row r="6645" spans="1:19" s="9" customFormat="1" x14ac:dyDescent="0.25">
      <c r="A6645" s="10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  <c r="Q6645" s="11"/>
      <c r="R6645" s="11"/>
      <c r="S6645" s="11"/>
    </row>
    <row r="6646" spans="1:19" s="9" customFormat="1" x14ac:dyDescent="0.25">
      <c r="A6646" s="10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  <c r="Q6646" s="11"/>
      <c r="R6646" s="11"/>
      <c r="S6646" s="11"/>
    </row>
    <row r="6647" spans="1:19" s="9" customFormat="1" x14ac:dyDescent="0.25">
      <c r="A6647" s="10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  <c r="Q6647" s="11"/>
      <c r="R6647" s="11"/>
      <c r="S6647" s="11"/>
    </row>
    <row r="6648" spans="1:19" s="9" customFormat="1" x14ac:dyDescent="0.25">
      <c r="A6648" s="10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  <c r="Q6648" s="11"/>
      <c r="R6648" s="11"/>
      <c r="S6648" s="11"/>
    </row>
    <row r="6649" spans="1:19" s="9" customFormat="1" x14ac:dyDescent="0.25">
      <c r="A6649" s="10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  <c r="Q6649" s="11"/>
      <c r="R6649" s="11"/>
      <c r="S6649" s="11"/>
    </row>
    <row r="6650" spans="1:19" s="9" customFormat="1" x14ac:dyDescent="0.25">
      <c r="A6650" s="10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  <c r="Q6650" s="11"/>
      <c r="R6650" s="11"/>
      <c r="S6650" s="11"/>
    </row>
    <row r="6651" spans="1:19" s="9" customFormat="1" x14ac:dyDescent="0.25">
      <c r="A6651" s="10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  <c r="Q6651" s="11"/>
      <c r="R6651" s="11"/>
      <c r="S6651" s="11"/>
    </row>
    <row r="6652" spans="1:19" s="9" customFormat="1" x14ac:dyDescent="0.25">
      <c r="A6652" s="10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  <c r="Q6652" s="11"/>
      <c r="R6652" s="11"/>
      <c r="S6652" s="11"/>
    </row>
    <row r="6653" spans="1:19" s="9" customFormat="1" x14ac:dyDescent="0.25">
      <c r="A6653" s="10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  <c r="Q6653" s="11"/>
      <c r="R6653" s="11"/>
      <c r="S6653" s="11"/>
    </row>
    <row r="6654" spans="1:19" s="9" customFormat="1" x14ac:dyDescent="0.25">
      <c r="A6654" s="10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  <c r="Q6654" s="11"/>
      <c r="R6654" s="11"/>
      <c r="S6654" s="11"/>
    </row>
    <row r="6655" spans="1:19" s="9" customFormat="1" x14ac:dyDescent="0.25">
      <c r="A6655" s="10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  <c r="Q6655" s="11"/>
      <c r="R6655" s="11"/>
      <c r="S6655" s="11"/>
    </row>
    <row r="6656" spans="1:19" s="9" customFormat="1" x14ac:dyDescent="0.25">
      <c r="A6656" s="10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  <c r="Q6656" s="11"/>
      <c r="R6656" s="11"/>
      <c r="S6656" s="11"/>
    </row>
    <row r="6657" spans="1:19" s="9" customFormat="1" x14ac:dyDescent="0.25">
      <c r="A6657" s="10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  <c r="Q6657" s="11"/>
      <c r="R6657" s="11"/>
      <c r="S6657" s="11"/>
    </row>
    <row r="6658" spans="1:19" s="9" customFormat="1" x14ac:dyDescent="0.25">
      <c r="A6658" s="10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  <c r="Q6658" s="11"/>
      <c r="R6658" s="11"/>
      <c r="S6658" s="11"/>
    </row>
    <row r="6659" spans="1:19" s="9" customFormat="1" x14ac:dyDescent="0.25">
      <c r="A6659" s="10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  <c r="Q6659" s="11"/>
      <c r="R6659" s="11"/>
      <c r="S6659" s="11"/>
    </row>
    <row r="6660" spans="1:19" s="9" customFormat="1" x14ac:dyDescent="0.25">
      <c r="A6660" s="10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  <c r="Q6660" s="11"/>
      <c r="R6660" s="11"/>
      <c r="S6660" s="11"/>
    </row>
    <row r="6661" spans="1:19" s="9" customFormat="1" x14ac:dyDescent="0.25">
      <c r="A6661" s="10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  <c r="Q6661" s="11"/>
      <c r="R6661" s="11"/>
      <c r="S6661" s="11"/>
    </row>
    <row r="6662" spans="1:19" s="9" customFormat="1" x14ac:dyDescent="0.25">
      <c r="A6662" s="10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  <c r="Q6662" s="11"/>
      <c r="R6662" s="11"/>
      <c r="S6662" s="11"/>
    </row>
    <row r="6663" spans="1:19" s="9" customFormat="1" x14ac:dyDescent="0.25">
      <c r="A6663" s="10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  <c r="Q6663" s="11"/>
      <c r="R6663" s="11"/>
      <c r="S6663" s="11"/>
    </row>
    <row r="6664" spans="1:19" s="9" customFormat="1" x14ac:dyDescent="0.25">
      <c r="A6664" s="10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  <c r="Q6664" s="11"/>
      <c r="R6664" s="11"/>
      <c r="S6664" s="11"/>
    </row>
    <row r="6665" spans="1:19" s="9" customFormat="1" x14ac:dyDescent="0.25">
      <c r="A6665" s="10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  <c r="Q6665" s="11"/>
      <c r="R6665" s="11"/>
      <c r="S6665" s="11"/>
    </row>
    <row r="6666" spans="1:19" s="9" customFormat="1" x14ac:dyDescent="0.25">
      <c r="A6666" s="10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  <c r="Q6666" s="11"/>
      <c r="R6666" s="11"/>
      <c r="S6666" s="11"/>
    </row>
    <row r="6667" spans="1:19" s="9" customFormat="1" x14ac:dyDescent="0.25">
      <c r="A6667" s="10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  <c r="Q6667" s="11"/>
      <c r="R6667" s="11"/>
      <c r="S6667" s="11"/>
    </row>
    <row r="6668" spans="1:19" s="9" customFormat="1" x14ac:dyDescent="0.25">
      <c r="A6668" s="10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  <c r="Q6668" s="11"/>
      <c r="R6668" s="11"/>
      <c r="S6668" s="11"/>
    </row>
    <row r="6669" spans="1:19" s="9" customFormat="1" x14ac:dyDescent="0.25">
      <c r="A6669" s="10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  <c r="Q6669" s="11"/>
      <c r="R6669" s="11"/>
      <c r="S6669" s="11"/>
    </row>
    <row r="6670" spans="1:19" s="9" customFormat="1" x14ac:dyDescent="0.25">
      <c r="A6670" s="10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  <c r="Q6670" s="11"/>
      <c r="R6670" s="11"/>
      <c r="S6670" s="11"/>
    </row>
    <row r="6671" spans="1:19" s="9" customFormat="1" x14ac:dyDescent="0.25">
      <c r="A6671" s="10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  <c r="Q6671" s="11"/>
      <c r="R6671" s="11"/>
      <c r="S6671" s="11"/>
    </row>
    <row r="6672" spans="1:19" s="9" customFormat="1" x14ac:dyDescent="0.25">
      <c r="A6672" s="10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  <c r="Q6672" s="11"/>
      <c r="R6672" s="11"/>
      <c r="S6672" s="11"/>
    </row>
    <row r="6673" spans="1:19" s="9" customFormat="1" x14ac:dyDescent="0.25">
      <c r="A6673" s="10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  <c r="Q6673" s="11"/>
      <c r="R6673" s="11"/>
      <c r="S6673" s="11"/>
    </row>
    <row r="6674" spans="1:19" s="9" customFormat="1" x14ac:dyDescent="0.25">
      <c r="A6674" s="10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  <c r="Q6674" s="11"/>
      <c r="R6674" s="11"/>
      <c r="S6674" s="11"/>
    </row>
    <row r="6675" spans="1:19" s="9" customFormat="1" x14ac:dyDescent="0.25">
      <c r="A6675" s="10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  <c r="Q6675" s="11"/>
      <c r="R6675" s="11"/>
      <c r="S6675" s="11"/>
    </row>
    <row r="6676" spans="1:19" s="9" customFormat="1" x14ac:dyDescent="0.25">
      <c r="A6676" s="10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  <c r="Q6676" s="11"/>
      <c r="R6676" s="11"/>
      <c r="S6676" s="11"/>
    </row>
    <row r="6677" spans="1:19" s="9" customFormat="1" x14ac:dyDescent="0.25">
      <c r="A6677" s="10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  <c r="Q6677" s="11"/>
      <c r="R6677" s="11"/>
      <c r="S6677" s="11"/>
    </row>
    <row r="6678" spans="1:19" s="9" customFormat="1" x14ac:dyDescent="0.25">
      <c r="A6678" s="10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  <c r="Q6678" s="11"/>
      <c r="R6678" s="11"/>
      <c r="S6678" s="11"/>
    </row>
    <row r="6679" spans="1:19" s="9" customFormat="1" x14ac:dyDescent="0.25">
      <c r="A6679" s="10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  <c r="Q6679" s="11"/>
      <c r="R6679" s="11"/>
      <c r="S6679" s="11"/>
    </row>
    <row r="6680" spans="1:19" s="9" customFormat="1" x14ac:dyDescent="0.25">
      <c r="A6680" s="10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  <c r="Q6680" s="11"/>
      <c r="R6680" s="11"/>
      <c r="S6680" s="11"/>
    </row>
    <row r="6681" spans="1:19" s="9" customFormat="1" x14ac:dyDescent="0.25">
      <c r="A6681" s="10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  <c r="Q6681" s="11"/>
      <c r="R6681" s="11"/>
      <c r="S6681" s="11"/>
    </row>
    <row r="6682" spans="1:19" s="9" customFormat="1" x14ac:dyDescent="0.25">
      <c r="A6682" s="10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  <c r="Q6682" s="11"/>
      <c r="R6682" s="11"/>
      <c r="S6682" s="11"/>
    </row>
    <row r="6683" spans="1:19" s="9" customFormat="1" x14ac:dyDescent="0.25">
      <c r="A6683" s="10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  <c r="Q6683" s="11"/>
      <c r="R6683" s="11"/>
      <c r="S6683" s="11"/>
    </row>
    <row r="6684" spans="1:19" s="9" customFormat="1" x14ac:dyDescent="0.25">
      <c r="A6684" s="10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  <c r="Q6684" s="11"/>
      <c r="R6684" s="11"/>
      <c r="S6684" s="11"/>
    </row>
    <row r="6685" spans="1:19" s="9" customFormat="1" x14ac:dyDescent="0.25">
      <c r="A6685" s="10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  <c r="Q6685" s="11"/>
      <c r="R6685" s="11"/>
      <c r="S6685" s="11"/>
    </row>
    <row r="6686" spans="1:19" s="9" customFormat="1" x14ac:dyDescent="0.25">
      <c r="A6686" s="10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  <c r="Q6686" s="11"/>
      <c r="R6686" s="11"/>
      <c r="S6686" s="11"/>
    </row>
    <row r="6687" spans="1:19" s="9" customFormat="1" x14ac:dyDescent="0.25">
      <c r="A6687" s="10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  <c r="Q6687" s="11"/>
      <c r="R6687" s="11"/>
      <c r="S6687" s="11"/>
    </row>
    <row r="6688" spans="1:19" s="9" customFormat="1" x14ac:dyDescent="0.25">
      <c r="A6688" s="10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  <c r="Q6688" s="11"/>
      <c r="R6688" s="11"/>
      <c r="S6688" s="11"/>
    </row>
    <row r="6689" spans="1:19" s="9" customFormat="1" x14ac:dyDescent="0.25">
      <c r="A6689" s="10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  <c r="Q6689" s="11"/>
      <c r="R6689" s="11"/>
      <c r="S6689" s="11"/>
    </row>
    <row r="6690" spans="1:19" s="9" customFormat="1" x14ac:dyDescent="0.25">
      <c r="A6690" s="10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  <c r="Q6690" s="11"/>
      <c r="R6690" s="11"/>
      <c r="S6690" s="11"/>
    </row>
    <row r="6691" spans="1:19" s="9" customFormat="1" x14ac:dyDescent="0.25">
      <c r="A6691" s="10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  <c r="Q6691" s="11"/>
      <c r="R6691" s="11"/>
      <c r="S6691" s="11"/>
    </row>
    <row r="6692" spans="1:19" s="9" customFormat="1" x14ac:dyDescent="0.25">
      <c r="A6692" s="10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  <c r="Q6692" s="11"/>
      <c r="R6692" s="11"/>
      <c r="S6692" s="11"/>
    </row>
    <row r="6693" spans="1:19" s="9" customFormat="1" x14ac:dyDescent="0.25">
      <c r="A6693" s="10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  <c r="Q6693" s="11"/>
      <c r="R6693" s="11"/>
      <c r="S6693" s="11"/>
    </row>
    <row r="6694" spans="1:19" s="9" customFormat="1" x14ac:dyDescent="0.25">
      <c r="A6694" s="10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  <c r="Q6694" s="11"/>
      <c r="R6694" s="11"/>
      <c r="S6694" s="11"/>
    </row>
    <row r="6695" spans="1:19" s="9" customFormat="1" x14ac:dyDescent="0.25">
      <c r="A6695" s="10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  <c r="Q6695" s="11"/>
      <c r="R6695" s="11"/>
      <c r="S6695" s="11"/>
    </row>
    <row r="6696" spans="1:19" s="9" customFormat="1" x14ac:dyDescent="0.25">
      <c r="A6696" s="10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  <c r="Q6696" s="11"/>
      <c r="R6696" s="11"/>
      <c r="S6696" s="11"/>
    </row>
    <row r="6697" spans="1:19" s="9" customFormat="1" x14ac:dyDescent="0.25">
      <c r="A6697" s="10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  <c r="Q6697" s="11"/>
      <c r="R6697" s="11"/>
      <c r="S6697" s="11"/>
    </row>
    <row r="6698" spans="1:19" s="9" customFormat="1" x14ac:dyDescent="0.25">
      <c r="A6698" s="10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  <c r="Q6698" s="11"/>
      <c r="R6698" s="11"/>
      <c r="S6698" s="11"/>
    </row>
    <row r="6699" spans="1:19" s="9" customFormat="1" x14ac:dyDescent="0.25">
      <c r="A6699" s="10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  <c r="Q6699" s="11"/>
      <c r="R6699" s="11"/>
      <c r="S6699" s="11"/>
    </row>
    <row r="6700" spans="1:19" s="9" customFormat="1" x14ac:dyDescent="0.25">
      <c r="A6700" s="10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  <c r="Q6700" s="11"/>
      <c r="R6700" s="11"/>
      <c r="S6700" s="11"/>
    </row>
    <row r="6701" spans="1:19" s="9" customFormat="1" x14ac:dyDescent="0.25">
      <c r="A6701" s="10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  <c r="Q6701" s="11"/>
      <c r="R6701" s="11"/>
      <c r="S6701" s="11"/>
    </row>
    <row r="6702" spans="1:19" s="9" customFormat="1" x14ac:dyDescent="0.25">
      <c r="A6702" s="10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  <c r="Q6702" s="11"/>
      <c r="R6702" s="11"/>
      <c r="S6702" s="11"/>
    </row>
    <row r="6703" spans="1:19" s="9" customFormat="1" x14ac:dyDescent="0.25">
      <c r="A6703" s="10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  <c r="Q6703" s="11"/>
      <c r="R6703" s="11"/>
      <c r="S6703" s="11"/>
    </row>
    <row r="6704" spans="1:19" s="9" customFormat="1" x14ac:dyDescent="0.25">
      <c r="A6704" s="10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  <c r="Q6704" s="11"/>
      <c r="R6704" s="11"/>
      <c r="S6704" s="11"/>
    </row>
    <row r="6705" spans="1:19" s="9" customFormat="1" x14ac:dyDescent="0.25">
      <c r="A6705" s="10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  <c r="Q6705" s="11"/>
      <c r="R6705" s="11"/>
      <c r="S6705" s="11"/>
    </row>
    <row r="6706" spans="1:19" s="9" customFormat="1" x14ac:dyDescent="0.25">
      <c r="A6706" s="10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  <c r="Q6706" s="11"/>
      <c r="R6706" s="11"/>
      <c r="S6706" s="11"/>
    </row>
    <row r="6707" spans="1:19" s="9" customFormat="1" x14ac:dyDescent="0.25">
      <c r="A6707" s="10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  <c r="Q6707" s="11"/>
      <c r="R6707" s="11"/>
      <c r="S6707" s="11"/>
    </row>
    <row r="6708" spans="1:19" s="9" customFormat="1" x14ac:dyDescent="0.25">
      <c r="A6708" s="10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  <c r="Q6708" s="11"/>
      <c r="R6708" s="11"/>
      <c r="S6708" s="11"/>
    </row>
    <row r="6709" spans="1:19" s="9" customFormat="1" x14ac:dyDescent="0.25">
      <c r="A6709" s="10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  <c r="Q6709" s="11"/>
      <c r="R6709" s="11"/>
      <c r="S6709" s="11"/>
    </row>
    <row r="6710" spans="1:19" s="9" customFormat="1" x14ac:dyDescent="0.25">
      <c r="A6710" s="10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  <c r="Q6710" s="11"/>
      <c r="R6710" s="11"/>
      <c r="S6710" s="11"/>
    </row>
    <row r="6711" spans="1:19" s="9" customFormat="1" x14ac:dyDescent="0.25">
      <c r="A6711" s="10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  <c r="Q6711" s="11"/>
      <c r="R6711" s="11"/>
      <c r="S6711" s="11"/>
    </row>
    <row r="6712" spans="1:19" s="9" customFormat="1" x14ac:dyDescent="0.25">
      <c r="A6712" s="10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  <c r="Q6712" s="11"/>
      <c r="R6712" s="11"/>
      <c r="S6712" s="11"/>
    </row>
    <row r="6713" spans="1:19" s="9" customFormat="1" x14ac:dyDescent="0.25">
      <c r="A6713" s="10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  <c r="Q6713" s="11"/>
      <c r="R6713" s="11"/>
      <c r="S6713" s="11"/>
    </row>
    <row r="6714" spans="1:19" s="9" customFormat="1" x14ac:dyDescent="0.25">
      <c r="A6714" s="10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  <c r="Q6714" s="11"/>
      <c r="R6714" s="11"/>
      <c r="S6714" s="11"/>
    </row>
    <row r="6715" spans="1:19" s="9" customFormat="1" x14ac:dyDescent="0.25">
      <c r="A6715" s="10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  <c r="Q6715" s="11"/>
      <c r="R6715" s="11"/>
      <c r="S6715" s="11"/>
    </row>
    <row r="6716" spans="1:19" s="9" customFormat="1" x14ac:dyDescent="0.25">
      <c r="A6716" s="10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  <c r="Q6716" s="11"/>
      <c r="R6716" s="11"/>
      <c r="S6716" s="11"/>
    </row>
    <row r="6717" spans="1:19" s="9" customFormat="1" x14ac:dyDescent="0.25">
      <c r="A6717" s="10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  <c r="Q6717" s="11"/>
      <c r="R6717" s="11"/>
      <c r="S6717" s="11"/>
    </row>
    <row r="6718" spans="1:19" s="9" customFormat="1" x14ac:dyDescent="0.25">
      <c r="A6718" s="10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  <c r="Q6718" s="11"/>
      <c r="R6718" s="11"/>
      <c r="S6718" s="11"/>
    </row>
    <row r="6719" spans="1:19" s="9" customFormat="1" x14ac:dyDescent="0.25">
      <c r="A6719" s="10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  <c r="Q6719" s="11"/>
      <c r="R6719" s="11"/>
      <c r="S6719" s="11"/>
    </row>
    <row r="6720" spans="1:19" s="9" customFormat="1" x14ac:dyDescent="0.25">
      <c r="A6720" s="10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  <c r="Q6720" s="11"/>
      <c r="R6720" s="11"/>
      <c r="S6720" s="11"/>
    </row>
    <row r="6721" spans="1:19" s="9" customFormat="1" x14ac:dyDescent="0.25">
      <c r="A6721" s="10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  <c r="Q6721" s="11"/>
      <c r="R6721" s="11"/>
      <c r="S6721" s="11"/>
    </row>
    <row r="6722" spans="1:19" s="9" customFormat="1" x14ac:dyDescent="0.25">
      <c r="A6722" s="10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  <c r="Q6722" s="11"/>
      <c r="R6722" s="11"/>
      <c r="S6722" s="11"/>
    </row>
    <row r="6723" spans="1:19" s="9" customFormat="1" x14ac:dyDescent="0.25">
      <c r="A6723" s="10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  <c r="Q6723" s="11"/>
      <c r="R6723" s="11"/>
      <c r="S6723" s="11"/>
    </row>
    <row r="6724" spans="1:19" s="9" customFormat="1" x14ac:dyDescent="0.25">
      <c r="A6724" s="10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  <c r="Q6724" s="11"/>
      <c r="R6724" s="11"/>
      <c r="S6724" s="11"/>
    </row>
    <row r="6725" spans="1:19" s="9" customFormat="1" x14ac:dyDescent="0.25">
      <c r="A6725" s="10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  <c r="Q6725" s="11"/>
      <c r="R6725" s="11"/>
      <c r="S6725" s="11"/>
    </row>
    <row r="6726" spans="1:19" s="9" customFormat="1" x14ac:dyDescent="0.25">
      <c r="A6726" s="10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  <c r="Q6726" s="11"/>
      <c r="R6726" s="11"/>
      <c r="S6726" s="11"/>
    </row>
    <row r="6727" spans="1:19" s="9" customFormat="1" x14ac:dyDescent="0.25">
      <c r="A6727" s="10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  <c r="Q6727" s="11"/>
      <c r="R6727" s="11"/>
      <c r="S6727" s="11"/>
    </row>
    <row r="6728" spans="1:19" s="9" customFormat="1" x14ac:dyDescent="0.25">
      <c r="A6728" s="10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  <c r="Q6728" s="11"/>
      <c r="R6728" s="11"/>
      <c r="S6728" s="11"/>
    </row>
    <row r="6729" spans="1:19" s="9" customFormat="1" x14ac:dyDescent="0.25">
      <c r="A6729" s="10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  <c r="Q6729" s="11"/>
      <c r="R6729" s="11"/>
      <c r="S6729" s="11"/>
    </row>
    <row r="6730" spans="1:19" s="9" customFormat="1" x14ac:dyDescent="0.25">
      <c r="A6730" s="10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  <c r="Q6730" s="11"/>
      <c r="R6730" s="11"/>
      <c r="S6730" s="11"/>
    </row>
    <row r="6731" spans="1:19" s="9" customFormat="1" x14ac:dyDescent="0.25">
      <c r="A6731" s="10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  <c r="Q6731" s="11"/>
      <c r="R6731" s="11"/>
      <c r="S6731" s="11"/>
    </row>
    <row r="6732" spans="1:19" s="9" customFormat="1" x14ac:dyDescent="0.25">
      <c r="A6732" s="10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  <c r="Q6732" s="11"/>
      <c r="R6732" s="11"/>
      <c r="S6732" s="11"/>
    </row>
    <row r="6733" spans="1:19" s="9" customFormat="1" x14ac:dyDescent="0.25">
      <c r="A6733" s="10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  <c r="Q6733" s="11"/>
      <c r="R6733" s="11"/>
      <c r="S6733" s="11"/>
    </row>
    <row r="6734" spans="1:19" s="9" customFormat="1" x14ac:dyDescent="0.25">
      <c r="A6734" s="10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  <c r="Q6734" s="11"/>
      <c r="R6734" s="11"/>
      <c r="S6734" s="11"/>
    </row>
    <row r="6735" spans="1:19" s="9" customFormat="1" x14ac:dyDescent="0.25">
      <c r="A6735" s="10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  <c r="Q6735" s="11"/>
      <c r="R6735" s="11"/>
      <c r="S6735" s="11"/>
    </row>
    <row r="6736" spans="1:19" s="9" customFormat="1" x14ac:dyDescent="0.25">
      <c r="A6736" s="10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  <c r="Q6736" s="11"/>
      <c r="R6736" s="11"/>
      <c r="S6736" s="11"/>
    </row>
    <row r="6737" spans="1:19" s="9" customFormat="1" x14ac:dyDescent="0.25">
      <c r="A6737" s="10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  <c r="Q6737" s="11"/>
      <c r="R6737" s="11"/>
      <c r="S6737" s="11"/>
    </row>
    <row r="6738" spans="1:19" s="9" customFormat="1" x14ac:dyDescent="0.25">
      <c r="A6738" s="10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  <c r="Q6738" s="11"/>
      <c r="R6738" s="11"/>
      <c r="S6738" s="11"/>
    </row>
    <row r="6739" spans="1:19" s="9" customFormat="1" x14ac:dyDescent="0.25">
      <c r="A6739" s="10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  <c r="Q6739" s="11"/>
      <c r="R6739" s="11"/>
      <c r="S6739" s="11"/>
    </row>
    <row r="6740" spans="1:19" s="9" customFormat="1" x14ac:dyDescent="0.25">
      <c r="A6740" s="10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  <c r="Q6740" s="11"/>
      <c r="R6740" s="11"/>
      <c r="S6740" s="11"/>
    </row>
    <row r="6741" spans="1:19" s="9" customFormat="1" x14ac:dyDescent="0.25">
      <c r="A6741" s="10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  <c r="Q6741" s="11"/>
      <c r="R6741" s="11"/>
      <c r="S6741" s="11"/>
    </row>
    <row r="6742" spans="1:19" s="9" customFormat="1" x14ac:dyDescent="0.25">
      <c r="A6742" s="10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  <c r="Q6742" s="11"/>
      <c r="R6742" s="11"/>
      <c r="S6742" s="11"/>
    </row>
    <row r="6743" spans="1:19" s="9" customFormat="1" x14ac:dyDescent="0.25">
      <c r="A6743" s="10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  <c r="Q6743" s="11"/>
      <c r="R6743" s="11"/>
      <c r="S6743" s="11"/>
    </row>
    <row r="6744" spans="1:19" s="9" customFormat="1" x14ac:dyDescent="0.25">
      <c r="A6744" s="10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  <c r="Q6744" s="11"/>
      <c r="R6744" s="11"/>
      <c r="S6744" s="11"/>
    </row>
    <row r="6745" spans="1:19" s="9" customFormat="1" x14ac:dyDescent="0.25">
      <c r="A6745" s="10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  <c r="Q6745" s="11"/>
      <c r="R6745" s="11"/>
      <c r="S6745" s="11"/>
    </row>
    <row r="6746" spans="1:19" s="9" customFormat="1" x14ac:dyDescent="0.25">
      <c r="A6746" s="10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  <c r="Q6746" s="11"/>
      <c r="R6746" s="11"/>
      <c r="S6746" s="11"/>
    </row>
    <row r="6747" spans="1:19" s="9" customFormat="1" x14ac:dyDescent="0.25">
      <c r="A6747" s="10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  <c r="Q6747" s="11"/>
      <c r="R6747" s="11"/>
      <c r="S6747" s="11"/>
    </row>
    <row r="6748" spans="1:19" s="9" customFormat="1" x14ac:dyDescent="0.25">
      <c r="A6748" s="10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  <c r="Q6748" s="11"/>
      <c r="R6748" s="11"/>
      <c r="S6748" s="11"/>
    </row>
    <row r="6749" spans="1:19" s="9" customFormat="1" x14ac:dyDescent="0.25">
      <c r="A6749" s="10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  <c r="Q6749" s="11"/>
      <c r="R6749" s="11"/>
      <c r="S6749" s="11"/>
    </row>
    <row r="6750" spans="1:19" s="9" customFormat="1" x14ac:dyDescent="0.25">
      <c r="A6750" s="10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  <c r="Q6750" s="11"/>
      <c r="R6750" s="11"/>
      <c r="S6750" s="11"/>
    </row>
    <row r="6751" spans="1:19" s="9" customFormat="1" x14ac:dyDescent="0.25">
      <c r="A6751" s="10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  <c r="Q6751" s="11"/>
      <c r="R6751" s="11"/>
      <c r="S6751" s="11"/>
    </row>
    <row r="6752" spans="1:19" s="9" customFormat="1" x14ac:dyDescent="0.25">
      <c r="A6752" s="10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  <c r="Q6752" s="11"/>
      <c r="R6752" s="11"/>
      <c r="S6752" s="11"/>
    </row>
    <row r="6753" spans="1:19" s="9" customFormat="1" x14ac:dyDescent="0.25">
      <c r="A6753" s="10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  <c r="Q6753" s="11"/>
      <c r="R6753" s="11"/>
      <c r="S6753" s="11"/>
    </row>
    <row r="6754" spans="1:19" s="9" customFormat="1" x14ac:dyDescent="0.25">
      <c r="A6754" s="10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  <c r="Q6754" s="11"/>
      <c r="R6754" s="11"/>
      <c r="S6754" s="11"/>
    </row>
    <row r="6755" spans="1:19" s="9" customFormat="1" x14ac:dyDescent="0.25">
      <c r="A6755" s="10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  <c r="Q6755" s="11"/>
      <c r="R6755" s="11"/>
      <c r="S6755" s="11"/>
    </row>
    <row r="6756" spans="1:19" s="9" customFormat="1" x14ac:dyDescent="0.25">
      <c r="A6756" s="10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  <c r="Q6756" s="11"/>
      <c r="R6756" s="11"/>
      <c r="S6756" s="11"/>
    </row>
    <row r="6757" spans="1:19" s="9" customFormat="1" x14ac:dyDescent="0.25">
      <c r="A6757" s="10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  <c r="Q6757" s="11"/>
      <c r="R6757" s="11"/>
      <c r="S6757" s="11"/>
    </row>
    <row r="6758" spans="1:19" s="9" customFormat="1" x14ac:dyDescent="0.25">
      <c r="A6758" s="10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  <c r="Q6758" s="11"/>
      <c r="R6758" s="11"/>
      <c r="S6758" s="11"/>
    </row>
    <row r="6759" spans="1:19" s="9" customFormat="1" x14ac:dyDescent="0.25">
      <c r="A6759" s="10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  <c r="Q6759" s="11"/>
      <c r="R6759" s="11"/>
      <c r="S6759" s="11"/>
    </row>
    <row r="6760" spans="1:19" s="9" customFormat="1" x14ac:dyDescent="0.25">
      <c r="A6760" s="10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  <c r="Q6760" s="11"/>
      <c r="R6760" s="11"/>
      <c r="S6760" s="11"/>
    </row>
    <row r="6761" spans="1:19" s="9" customFormat="1" x14ac:dyDescent="0.25">
      <c r="A6761" s="10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  <c r="Q6761" s="11"/>
      <c r="R6761" s="11"/>
      <c r="S6761" s="11"/>
    </row>
    <row r="6762" spans="1:19" s="9" customFormat="1" x14ac:dyDescent="0.25">
      <c r="A6762" s="10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  <c r="Q6762" s="11"/>
      <c r="R6762" s="11"/>
      <c r="S6762" s="11"/>
    </row>
    <row r="6763" spans="1:19" s="9" customFormat="1" x14ac:dyDescent="0.25">
      <c r="A6763" s="10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  <c r="Q6763" s="11"/>
      <c r="R6763" s="11"/>
      <c r="S6763" s="11"/>
    </row>
    <row r="6764" spans="1:19" s="9" customFormat="1" x14ac:dyDescent="0.25">
      <c r="A6764" s="10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  <c r="Q6764" s="11"/>
      <c r="R6764" s="11"/>
      <c r="S6764" s="11"/>
    </row>
    <row r="6765" spans="1:19" s="9" customFormat="1" x14ac:dyDescent="0.25">
      <c r="A6765" s="10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  <c r="Q6765" s="11"/>
      <c r="R6765" s="11"/>
      <c r="S6765" s="11"/>
    </row>
    <row r="6766" spans="1:19" s="9" customFormat="1" x14ac:dyDescent="0.25">
      <c r="A6766" s="10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  <c r="Q6766" s="11"/>
      <c r="R6766" s="11"/>
      <c r="S6766" s="11"/>
    </row>
    <row r="6767" spans="1:19" s="9" customFormat="1" x14ac:dyDescent="0.25">
      <c r="A6767" s="10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  <c r="Q6767" s="11"/>
      <c r="R6767" s="11"/>
      <c r="S6767" s="11"/>
    </row>
    <row r="6768" spans="1:19" s="9" customFormat="1" x14ac:dyDescent="0.25">
      <c r="A6768" s="10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  <c r="Q6768" s="11"/>
      <c r="R6768" s="11"/>
      <c r="S6768" s="11"/>
    </row>
    <row r="6769" spans="1:19" s="9" customFormat="1" x14ac:dyDescent="0.25">
      <c r="A6769" s="10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  <c r="Q6769" s="11"/>
      <c r="R6769" s="11"/>
      <c r="S6769" s="11"/>
    </row>
    <row r="6770" spans="1:19" s="9" customFormat="1" x14ac:dyDescent="0.25">
      <c r="A6770" s="10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  <c r="Q6770" s="11"/>
      <c r="R6770" s="11"/>
      <c r="S6770" s="11"/>
    </row>
    <row r="6771" spans="1:19" s="9" customFormat="1" x14ac:dyDescent="0.25">
      <c r="A6771" s="10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  <c r="Q6771" s="11"/>
      <c r="R6771" s="11"/>
      <c r="S6771" s="11"/>
    </row>
    <row r="6772" spans="1:19" s="9" customFormat="1" x14ac:dyDescent="0.25">
      <c r="A6772" s="10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  <c r="Q6772" s="11"/>
      <c r="R6772" s="11"/>
      <c r="S6772" s="11"/>
    </row>
    <row r="6773" spans="1:19" s="9" customFormat="1" x14ac:dyDescent="0.25">
      <c r="A6773" s="10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  <c r="Q6773" s="11"/>
      <c r="R6773" s="11"/>
      <c r="S6773" s="11"/>
    </row>
    <row r="6774" spans="1:19" s="9" customFormat="1" x14ac:dyDescent="0.25">
      <c r="A6774" s="10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  <c r="Q6774" s="11"/>
      <c r="R6774" s="11"/>
      <c r="S6774" s="11"/>
    </row>
    <row r="6775" spans="1:19" s="9" customFormat="1" x14ac:dyDescent="0.25">
      <c r="A6775" s="10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  <c r="Q6775" s="11"/>
      <c r="R6775" s="11"/>
      <c r="S6775" s="11"/>
    </row>
    <row r="6776" spans="1:19" s="9" customFormat="1" x14ac:dyDescent="0.25">
      <c r="A6776" s="10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  <c r="Q6776" s="11"/>
      <c r="R6776" s="11"/>
      <c r="S6776" s="11"/>
    </row>
    <row r="6777" spans="1:19" s="9" customFormat="1" x14ac:dyDescent="0.25">
      <c r="A6777" s="10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  <c r="Q6777" s="11"/>
      <c r="R6777" s="11"/>
      <c r="S6777" s="11"/>
    </row>
    <row r="6778" spans="1:19" s="9" customFormat="1" x14ac:dyDescent="0.25">
      <c r="A6778" s="10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  <c r="Q6778" s="11"/>
      <c r="R6778" s="11"/>
      <c r="S6778" s="11"/>
    </row>
    <row r="6779" spans="1:19" s="9" customFormat="1" x14ac:dyDescent="0.25">
      <c r="A6779" s="10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  <c r="Q6779" s="11"/>
      <c r="R6779" s="11"/>
      <c r="S6779" s="11"/>
    </row>
    <row r="6780" spans="1:19" s="9" customFormat="1" x14ac:dyDescent="0.25">
      <c r="A6780" s="10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  <c r="Q6780" s="11"/>
      <c r="R6780" s="11"/>
      <c r="S6780" s="11"/>
    </row>
    <row r="6781" spans="1:19" s="9" customFormat="1" x14ac:dyDescent="0.25">
      <c r="A6781" s="10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  <c r="Q6781" s="11"/>
      <c r="R6781" s="11"/>
      <c r="S6781" s="11"/>
    </row>
    <row r="6782" spans="1:19" s="9" customFormat="1" x14ac:dyDescent="0.25">
      <c r="A6782" s="10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  <c r="Q6782" s="11"/>
      <c r="R6782" s="11"/>
      <c r="S6782" s="11"/>
    </row>
    <row r="6783" spans="1:19" s="9" customFormat="1" x14ac:dyDescent="0.25">
      <c r="A6783" s="10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  <c r="Q6783" s="11"/>
      <c r="R6783" s="11"/>
      <c r="S6783" s="11"/>
    </row>
    <row r="6784" spans="1:19" s="9" customFormat="1" x14ac:dyDescent="0.25">
      <c r="A6784" s="10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  <c r="Q6784" s="11"/>
      <c r="R6784" s="11"/>
      <c r="S6784" s="11"/>
    </row>
    <row r="6785" spans="1:19" s="9" customFormat="1" x14ac:dyDescent="0.25">
      <c r="A6785" s="10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  <c r="Q6785" s="11"/>
      <c r="R6785" s="11"/>
      <c r="S6785" s="11"/>
    </row>
    <row r="6786" spans="1:19" s="9" customFormat="1" x14ac:dyDescent="0.25">
      <c r="A6786" s="10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  <c r="Q6786" s="11"/>
      <c r="R6786" s="11"/>
      <c r="S6786" s="11"/>
    </row>
    <row r="6787" spans="1:19" s="9" customFormat="1" x14ac:dyDescent="0.25">
      <c r="A6787" s="10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  <c r="Q6787" s="11"/>
      <c r="R6787" s="11"/>
      <c r="S6787" s="11"/>
    </row>
    <row r="6788" spans="1:19" s="9" customFormat="1" x14ac:dyDescent="0.25">
      <c r="A6788" s="10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  <c r="Q6788" s="11"/>
      <c r="R6788" s="11"/>
      <c r="S6788" s="11"/>
    </row>
    <row r="6789" spans="1:19" s="9" customFormat="1" x14ac:dyDescent="0.25">
      <c r="A6789" s="10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  <c r="Q6789" s="11"/>
      <c r="R6789" s="11"/>
      <c r="S6789" s="11"/>
    </row>
    <row r="6790" spans="1:19" s="9" customFormat="1" x14ac:dyDescent="0.25">
      <c r="A6790" s="10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  <c r="Q6790" s="11"/>
      <c r="R6790" s="11"/>
      <c r="S6790" s="11"/>
    </row>
    <row r="6791" spans="1:19" s="9" customFormat="1" x14ac:dyDescent="0.25">
      <c r="A6791" s="10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  <c r="Q6791" s="11"/>
      <c r="R6791" s="11"/>
      <c r="S6791" s="11"/>
    </row>
    <row r="6792" spans="1:19" s="9" customFormat="1" x14ac:dyDescent="0.25">
      <c r="A6792" s="10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  <c r="Q6792" s="11"/>
      <c r="R6792" s="11"/>
      <c r="S6792" s="11"/>
    </row>
    <row r="6793" spans="1:19" s="9" customFormat="1" x14ac:dyDescent="0.25">
      <c r="A6793" s="10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  <c r="Q6793" s="11"/>
      <c r="R6793" s="11"/>
      <c r="S6793" s="11"/>
    </row>
    <row r="6794" spans="1:19" s="9" customFormat="1" x14ac:dyDescent="0.25">
      <c r="A6794" s="10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  <c r="Q6794" s="11"/>
      <c r="R6794" s="11"/>
      <c r="S6794" s="11"/>
    </row>
    <row r="6795" spans="1:19" s="9" customFormat="1" x14ac:dyDescent="0.25">
      <c r="A6795" s="10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  <c r="Q6795" s="11"/>
      <c r="R6795" s="11"/>
      <c r="S6795" s="11"/>
    </row>
    <row r="6796" spans="1:19" s="9" customFormat="1" x14ac:dyDescent="0.25">
      <c r="A6796" s="10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  <c r="Q6796" s="11"/>
      <c r="R6796" s="11"/>
      <c r="S6796" s="11"/>
    </row>
    <row r="6797" spans="1:19" s="9" customFormat="1" x14ac:dyDescent="0.25">
      <c r="A6797" s="10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  <c r="Q6797" s="11"/>
      <c r="R6797" s="11"/>
      <c r="S6797" s="11"/>
    </row>
    <row r="6798" spans="1:19" s="9" customFormat="1" x14ac:dyDescent="0.25">
      <c r="A6798" s="10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  <c r="Q6798" s="11"/>
      <c r="R6798" s="11"/>
      <c r="S6798" s="11"/>
    </row>
    <row r="6799" spans="1:19" s="9" customFormat="1" x14ac:dyDescent="0.25">
      <c r="A6799" s="10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  <c r="Q6799" s="11"/>
      <c r="R6799" s="11"/>
      <c r="S6799" s="11"/>
    </row>
    <row r="6800" spans="1:19" s="9" customFormat="1" x14ac:dyDescent="0.25">
      <c r="A6800" s="10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  <c r="Q6800" s="11"/>
      <c r="R6800" s="11"/>
      <c r="S6800" s="11"/>
    </row>
    <row r="6801" spans="1:19" s="9" customFormat="1" x14ac:dyDescent="0.25">
      <c r="A6801" s="10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  <c r="Q6801" s="11"/>
      <c r="R6801" s="11"/>
      <c r="S6801" s="11"/>
    </row>
    <row r="6802" spans="1:19" s="9" customFormat="1" x14ac:dyDescent="0.25">
      <c r="A6802" s="10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  <c r="Q6802" s="11"/>
      <c r="R6802" s="11"/>
      <c r="S6802" s="11"/>
    </row>
    <row r="6803" spans="1:19" s="9" customFormat="1" x14ac:dyDescent="0.25">
      <c r="A6803" s="10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  <c r="Q6803" s="11"/>
      <c r="R6803" s="11"/>
      <c r="S6803" s="11"/>
    </row>
    <row r="6804" spans="1:19" s="9" customFormat="1" x14ac:dyDescent="0.25">
      <c r="A6804" s="10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  <c r="Q6804" s="11"/>
      <c r="R6804" s="11"/>
      <c r="S6804" s="11"/>
    </row>
    <row r="6805" spans="1:19" s="9" customFormat="1" x14ac:dyDescent="0.25">
      <c r="A6805" s="10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  <c r="Q6805" s="11"/>
      <c r="R6805" s="11"/>
      <c r="S6805" s="11"/>
    </row>
    <row r="6806" spans="1:19" s="9" customFormat="1" x14ac:dyDescent="0.25">
      <c r="A6806" s="10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  <c r="Q6806" s="11"/>
      <c r="R6806" s="11"/>
      <c r="S6806" s="11"/>
    </row>
    <row r="6807" spans="1:19" s="9" customFormat="1" x14ac:dyDescent="0.25">
      <c r="A6807" s="10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  <c r="Q6807" s="11"/>
      <c r="R6807" s="11"/>
      <c r="S6807" s="11"/>
    </row>
    <row r="6808" spans="1:19" s="9" customFormat="1" x14ac:dyDescent="0.25">
      <c r="A6808" s="10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  <c r="Q6808" s="11"/>
      <c r="R6808" s="11"/>
      <c r="S6808" s="11"/>
    </row>
    <row r="6809" spans="1:19" s="9" customFormat="1" x14ac:dyDescent="0.25">
      <c r="A6809" s="10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  <c r="Q6809" s="11"/>
      <c r="R6809" s="11"/>
      <c r="S6809" s="11"/>
    </row>
    <row r="6810" spans="1:19" s="9" customFormat="1" x14ac:dyDescent="0.25">
      <c r="A6810" s="10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  <c r="Q6810" s="11"/>
      <c r="R6810" s="11"/>
      <c r="S6810" s="11"/>
    </row>
    <row r="6811" spans="1:19" s="9" customFormat="1" x14ac:dyDescent="0.25">
      <c r="A6811" s="10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  <c r="Q6811" s="11"/>
      <c r="R6811" s="11"/>
      <c r="S6811" s="11"/>
    </row>
    <row r="6812" spans="1:19" s="9" customFormat="1" x14ac:dyDescent="0.25">
      <c r="A6812" s="10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  <c r="Q6812" s="11"/>
      <c r="R6812" s="11"/>
      <c r="S6812" s="11"/>
    </row>
    <row r="6813" spans="1:19" s="9" customFormat="1" x14ac:dyDescent="0.25">
      <c r="A6813" s="10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  <c r="Q6813" s="11"/>
      <c r="R6813" s="11"/>
      <c r="S6813" s="11"/>
    </row>
    <row r="6814" spans="1:19" s="9" customFormat="1" x14ac:dyDescent="0.25">
      <c r="A6814" s="10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  <c r="Q6814" s="11"/>
      <c r="R6814" s="11"/>
      <c r="S6814" s="11"/>
    </row>
    <row r="6815" spans="1:19" s="9" customFormat="1" x14ac:dyDescent="0.25">
      <c r="A6815" s="10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  <c r="Q6815" s="11"/>
      <c r="R6815" s="11"/>
      <c r="S6815" s="11"/>
    </row>
    <row r="6816" spans="1:19" s="9" customFormat="1" x14ac:dyDescent="0.25">
      <c r="A6816" s="10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  <c r="Q6816" s="11"/>
      <c r="R6816" s="11"/>
      <c r="S6816" s="11"/>
    </row>
    <row r="6817" spans="1:19" s="9" customFormat="1" x14ac:dyDescent="0.25">
      <c r="A6817" s="10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  <c r="Q6817" s="11"/>
      <c r="R6817" s="11"/>
      <c r="S6817" s="11"/>
    </row>
    <row r="6818" spans="1:19" s="9" customFormat="1" x14ac:dyDescent="0.25">
      <c r="A6818" s="10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  <c r="Q6818" s="11"/>
      <c r="R6818" s="11"/>
      <c r="S6818" s="11"/>
    </row>
    <row r="6819" spans="1:19" s="9" customFormat="1" x14ac:dyDescent="0.25">
      <c r="A6819" s="10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  <c r="Q6819" s="11"/>
      <c r="R6819" s="11"/>
      <c r="S6819" s="11"/>
    </row>
    <row r="6820" spans="1:19" s="9" customFormat="1" x14ac:dyDescent="0.25">
      <c r="A6820" s="10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  <c r="Q6820" s="11"/>
      <c r="R6820" s="11"/>
      <c r="S6820" s="11"/>
    </row>
    <row r="6821" spans="1:19" s="9" customFormat="1" x14ac:dyDescent="0.25">
      <c r="A6821" s="10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  <c r="Q6821" s="11"/>
      <c r="R6821" s="11"/>
      <c r="S6821" s="11"/>
    </row>
    <row r="6822" spans="1:19" s="9" customFormat="1" x14ac:dyDescent="0.25">
      <c r="A6822" s="10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  <c r="Q6822" s="11"/>
      <c r="R6822" s="11"/>
      <c r="S6822" s="11"/>
    </row>
    <row r="6823" spans="1:19" s="9" customFormat="1" x14ac:dyDescent="0.25">
      <c r="A6823" s="10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  <c r="Q6823" s="11"/>
      <c r="R6823" s="11"/>
      <c r="S6823" s="11"/>
    </row>
    <row r="6824" spans="1:19" s="9" customFormat="1" x14ac:dyDescent="0.25">
      <c r="A6824" s="10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  <c r="Q6824" s="11"/>
      <c r="R6824" s="11"/>
      <c r="S6824" s="11"/>
    </row>
    <row r="6825" spans="1:19" s="9" customFormat="1" x14ac:dyDescent="0.25">
      <c r="A6825" s="10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  <c r="Q6825" s="11"/>
      <c r="R6825" s="11"/>
      <c r="S6825" s="11"/>
    </row>
    <row r="6826" spans="1:19" s="9" customFormat="1" x14ac:dyDescent="0.25">
      <c r="A6826" s="10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  <c r="Q6826" s="11"/>
      <c r="R6826" s="11"/>
      <c r="S6826" s="11"/>
    </row>
    <row r="6827" spans="1:19" s="9" customFormat="1" x14ac:dyDescent="0.25">
      <c r="A6827" s="10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  <c r="Q6827" s="11"/>
      <c r="R6827" s="11"/>
      <c r="S6827" s="11"/>
    </row>
    <row r="6828" spans="1:19" s="9" customFormat="1" x14ac:dyDescent="0.25">
      <c r="A6828" s="10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  <c r="Q6828" s="11"/>
      <c r="R6828" s="11"/>
      <c r="S6828" s="11"/>
    </row>
    <row r="6829" spans="1:19" s="9" customFormat="1" x14ac:dyDescent="0.25">
      <c r="A6829" s="10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  <c r="Q6829" s="11"/>
      <c r="R6829" s="11"/>
      <c r="S6829" s="11"/>
    </row>
    <row r="6830" spans="1:19" s="9" customFormat="1" x14ac:dyDescent="0.25">
      <c r="A6830" s="10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  <c r="Q6830" s="11"/>
      <c r="R6830" s="11"/>
      <c r="S6830" s="11"/>
    </row>
    <row r="6831" spans="1:19" s="9" customFormat="1" x14ac:dyDescent="0.25">
      <c r="A6831" s="10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  <c r="Q6831" s="11"/>
      <c r="R6831" s="11"/>
      <c r="S6831" s="11"/>
    </row>
    <row r="6832" spans="1:19" s="9" customFormat="1" x14ac:dyDescent="0.25">
      <c r="A6832" s="10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  <c r="Q6832" s="11"/>
      <c r="R6832" s="11"/>
      <c r="S6832" s="11"/>
    </row>
    <row r="6833" spans="1:19" s="9" customFormat="1" x14ac:dyDescent="0.25">
      <c r="A6833" s="10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  <c r="Q6833" s="11"/>
      <c r="R6833" s="11"/>
      <c r="S6833" s="11"/>
    </row>
    <row r="6834" spans="1:19" s="9" customFormat="1" x14ac:dyDescent="0.25">
      <c r="A6834" s="10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  <c r="Q6834" s="11"/>
      <c r="R6834" s="11"/>
      <c r="S6834" s="11"/>
    </row>
    <row r="6835" spans="1:19" s="9" customFormat="1" x14ac:dyDescent="0.25">
      <c r="A6835" s="10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  <c r="Q6835" s="11"/>
      <c r="R6835" s="11"/>
      <c r="S6835" s="11"/>
    </row>
    <row r="6836" spans="1:19" s="9" customFormat="1" x14ac:dyDescent="0.25">
      <c r="A6836" s="10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  <c r="Q6836" s="11"/>
      <c r="R6836" s="11"/>
      <c r="S6836" s="11"/>
    </row>
    <row r="6837" spans="1:19" s="9" customFormat="1" x14ac:dyDescent="0.25">
      <c r="A6837" s="10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  <c r="Q6837" s="11"/>
      <c r="R6837" s="11"/>
      <c r="S6837" s="11"/>
    </row>
    <row r="6838" spans="1:19" s="9" customFormat="1" x14ac:dyDescent="0.25">
      <c r="A6838" s="10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  <c r="Q6838" s="11"/>
      <c r="R6838" s="11"/>
      <c r="S6838" s="11"/>
    </row>
    <row r="6839" spans="1:19" s="9" customFormat="1" x14ac:dyDescent="0.25">
      <c r="A6839" s="10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  <c r="Q6839" s="11"/>
      <c r="R6839" s="11"/>
      <c r="S6839" s="11"/>
    </row>
    <row r="6840" spans="1:19" s="9" customFormat="1" x14ac:dyDescent="0.25">
      <c r="A6840" s="10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  <c r="Q6840" s="11"/>
      <c r="R6840" s="11"/>
      <c r="S6840" s="11"/>
    </row>
    <row r="6841" spans="1:19" s="9" customFormat="1" x14ac:dyDescent="0.25">
      <c r="A6841" s="10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  <c r="Q6841" s="11"/>
      <c r="R6841" s="11"/>
      <c r="S6841" s="11"/>
    </row>
    <row r="6842" spans="1:19" s="9" customFormat="1" x14ac:dyDescent="0.25">
      <c r="A6842" s="10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  <c r="Q6842" s="11"/>
      <c r="R6842" s="11"/>
      <c r="S6842" s="11"/>
    </row>
    <row r="6843" spans="1:19" s="9" customFormat="1" x14ac:dyDescent="0.25">
      <c r="A6843" s="10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  <c r="Q6843" s="11"/>
      <c r="R6843" s="11"/>
      <c r="S6843" s="11"/>
    </row>
    <row r="6844" spans="1:19" s="9" customFormat="1" x14ac:dyDescent="0.25">
      <c r="A6844" s="10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  <c r="Q6844" s="11"/>
      <c r="R6844" s="11"/>
      <c r="S6844" s="11"/>
    </row>
    <row r="6845" spans="1:19" s="9" customFormat="1" x14ac:dyDescent="0.25">
      <c r="A6845" s="10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  <c r="Q6845" s="11"/>
      <c r="R6845" s="11"/>
      <c r="S6845" s="11"/>
    </row>
    <row r="6846" spans="1:19" s="9" customFormat="1" x14ac:dyDescent="0.25">
      <c r="A6846" s="10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  <c r="Q6846" s="11"/>
      <c r="R6846" s="11"/>
      <c r="S6846" s="11"/>
    </row>
    <row r="6847" spans="1:19" s="9" customFormat="1" x14ac:dyDescent="0.25">
      <c r="A6847" s="10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  <c r="Q6847" s="11"/>
      <c r="R6847" s="11"/>
      <c r="S6847" s="11"/>
    </row>
    <row r="6848" spans="1:19" s="9" customFormat="1" x14ac:dyDescent="0.25">
      <c r="A6848" s="10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  <c r="Q6848" s="11"/>
      <c r="R6848" s="11"/>
      <c r="S6848" s="11"/>
    </row>
    <row r="6849" spans="1:19" s="9" customFormat="1" x14ac:dyDescent="0.25">
      <c r="A6849" s="10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  <c r="Q6849" s="11"/>
      <c r="R6849" s="11"/>
      <c r="S6849" s="11"/>
    </row>
    <row r="6850" spans="1:19" s="9" customFormat="1" x14ac:dyDescent="0.25">
      <c r="A6850" s="10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  <c r="Q6850" s="11"/>
      <c r="R6850" s="11"/>
      <c r="S6850" s="11"/>
    </row>
    <row r="6851" spans="1:19" s="9" customFormat="1" x14ac:dyDescent="0.25">
      <c r="A6851" s="10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  <c r="Q6851" s="11"/>
      <c r="R6851" s="11"/>
      <c r="S6851" s="11"/>
    </row>
    <row r="6852" spans="1:19" s="9" customFormat="1" x14ac:dyDescent="0.25">
      <c r="A6852" s="10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  <c r="Q6852" s="11"/>
      <c r="R6852" s="11"/>
      <c r="S6852" s="11"/>
    </row>
    <row r="6853" spans="1:19" s="9" customFormat="1" x14ac:dyDescent="0.25">
      <c r="A6853" s="10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  <c r="Q6853" s="11"/>
      <c r="R6853" s="11"/>
      <c r="S6853" s="11"/>
    </row>
    <row r="6854" spans="1:19" s="9" customFormat="1" x14ac:dyDescent="0.25">
      <c r="A6854" s="10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  <c r="Q6854" s="11"/>
      <c r="R6854" s="11"/>
      <c r="S6854" s="11"/>
    </row>
    <row r="6855" spans="1:19" s="9" customFormat="1" x14ac:dyDescent="0.25">
      <c r="A6855" s="10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  <c r="Q6855" s="11"/>
      <c r="R6855" s="11"/>
      <c r="S6855" s="11"/>
    </row>
    <row r="6856" spans="1:19" s="9" customFormat="1" x14ac:dyDescent="0.25">
      <c r="A6856" s="10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  <c r="Q6856" s="11"/>
      <c r="R6856" s="11"/>
      <c r="S6856" s="11"/>
    </row>
    <row r="6857" spans="1:19" s="9" customFormat="1" x14ac:dyDescent="0.25">
      <c r="A6857" s="10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  <c r="Q6857" s="11"/>
      <c r="R6857" s="11"/>
      <c r="S6857" s="11"/>
    </row>
    <row r="6858" spans="1:19" s="9" customFormat="1" x14ac:dyDescent="0.25">
      <c r="A6858" s="10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  <c r="Q6858" s="11"/>
      <c r="R6858" s="11"/>
      <c r="S6858" s="11"/>
    </row>
    <row r="6859" spans="1:19" s="9" customFormat="1" x14ac:dyDescent="0.25">
      <c r="A6859" s="10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  <c r="Q6859" s="11"/>
      <c r="R6859" s="11"/>
      <c r="S6859" s="11"/>
    </row>
    <row r="6860" spans="1:19" s="9" customFormat="1" x14ac:dyDescent="0.25">
      <c r="A6860" s="10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  <c r="Q6860" s="11"/>
      <c r="R6860" s="11"/>
      <c r="S6860" s="11"/>
    </row>
    <row r="6861" spans="1:19" s="9" customFormat="1" x14ac:dyDescent="0.25">
      <c r="A6861" s="10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  <c r="Q6861" s="11"/>
      <c r="R6861" s="11"/>
      <c r="S6861" s="11"/>
    </row>
    <row r="6862" spans="1:19" s="9" customFormat="1" x14ac:dyDescent="0.25">
      <c r="A6862" s="10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  <c r="Q6862" s="11"/>
      <c r="R6862" s="11"/>
      <c r="S6862" s="11"/>
    </row>
    <row r="6863" spans="1:19" s="9" customFormat="1" x14ac:dyDescent="0.25">
      <c r="A6863" s="10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  <c r="Q6863" s="11"/>
      <c r="R6863" s="11"/>
      <c r="S6863" s="11"/>
    </row>
    <row r="6864" spans="1:19" s="9" customFormat="1" x14ac:dyDescent="0.25">
      <c r="A6864" s="10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  <c r="Q6864" s="11"/>
      <c r="R6864" s="11"/>
      <c r="S6864" s="11"/>
    </row>
    <row r="6865" spans="1:19" s="9" customFormat="1" x14ac:dyDescent="0.25">
      <c r="A6865" s="10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  <c r="Q6865" s="11"/>
      <c r="R6865" s="11"/>
      <c r="S6865" s="11"/>
    </row>
    <row r="6866" spans="1:19" s="9" customFormat="1" x14ac:dyDescent="0.25">
      <c r="A6866" s="10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  <c r="Q6866" s="11"/>
      <c r="R6866" s="11"/>
      <c r="S6866" s="11"/>
    </row>
    <row r="6867" spans="1:19" s="9" customFormat="1" x14ac:dyDescent="0.25">
      <c r="A6867" s="10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  <c r="Q6867" s="11"/>
      <c r="R6867" s="11"/>
      <c r="S6867" s="11"/>
    </row>
    <row r="6868" spans="1:19" s="9" customFormat="1" x14ac:dyDescent="0.25">
      <c r="A6868" s="10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  <c r="Q6868" s="11"/>
      <c r="R6868" s="11"/>
      <c r="S6868" s="11"/>
    </row>
    <row r="6869" spans="1:19" s="9" customFormat="1" x14ac:dyDescent="0.25">
      <c r="A6869" s="10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  <c r="Q6869" s="11"/>
      <c r="R6869" s="11"/>
      <c r="S6869" s="11"/>
    </row>
    <row r="6870" spans="1:19" s="9" customFormat="1" x14ac:dyDescent="0.25">
      <c r="A6870" s="10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  <c r="Q6870" s="11"/>
      <c r="R6870" s="11"/>
      <c r="S6870" s="11"/>
    </row>
    <row r="6871" spans="1:19" s="9" customFormat="1" x14ac:dyDescent="0.25">
      <c r="A6871" s="10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  <c r="Q6871" s="11"/>
      <c r="R6871" s="11"/>
      <c r="S6871" s="11"/>
    </row>
    <row r="6872" spans="1:19" s="9" customFormat="1" x14ac:dyDescent="0.25">
      <c r="A6872" s="10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  <c r="Q6872" s="11"/>
      <c r="R6872" s="11"/>
      <c r="S6872" s="11"/>
    </row>
    <row r="6873" spans="1:19" s="9" customFormat="1" x14ac:dyDescent="0.25">
      <c r="A6873" s="10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  <c r="Q6873" s="11"/>
      <c r="R6873" s="11"/>
      <c r="S6873" s="11"/>
    </row>
    <row r="6874" spans="1:19" s="9" customFormat="1" x14ac:dyDescent="0.25">
      <c r="A6874" s="10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  <c r="Q6874" s="11"/>
      <c r="R6874" s="11"/>
      <c r="S6874" s="11"/>
    </row>
    <row r="6875" spans="1:19" s="9" customFormat="1" x14ac:dyDescent="0.25">
      <c r="A6875" s="10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  <c r="Q6875" s="11"/>
      <c r="R6875" s="11"/>
      <c r="S6875" s="11"/>
    </row>
    <row r="6876" spans="1:19" s="9" customFormat="1" x14ac:dyDescent="0.25">
      <c r="A6876" s="10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  <c r="Q6876" s="11"/>
      <c r="R6876" s="11"/>
      <c r="S6876" s="11"/>
    </row>
    <row r="6877" spans="1:19" s="9" customFormat="1" x14ac:dyDescent="0.25">
      <c r="A6877" s="10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  <c r="Q6877" s="11"/>
      <c r="R6877" s="11"/>
      <c r="S6877" s="11"/>
    </row>
    <row r="6878" spans="1:19" s="9" customFormat="1" x14ac:dyDescent="0.25">
      <c r="A6878" s="10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  <c r="Q6878" s="11"/>
      <c r="R6878" s="11"/>
      <c r="S6878" s="11"/>
    </row>
    <row r="6879" spans="1:19" s="9" customFormat="1" x14ac:dyDescent="0.25">
      <c r="A6879" s="10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  <c r="Q6879" s="11"/>
      <c r="R6879" s="11"/>
      <c r="S6879" s="11"/>
    </row>
    <row r="6880" spans="1:19" s="9" customFormat="1" x14ac:dyDescent="0.25">
      <c r="A6880" s="10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  <c r="Q6880" s="11"/>
      <c r="R6880" s="11"/>
      <c r="S6880" s="11"/>
    </row>
    <row r="6881" spans="1:19" s="9" customFormat="1" x14ac:dyDescent="0.25">
      <c r="A6881" s="10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  <c r="Q6881" s="11"/>
      <c r="R6881" s="11"/>
      <c r="S6881" s="11"/>
    </row>
    <row r="6882" spans="1:19" s="9" customFormat="1" x14ac:dyDescent="0.25">
      <c r="A6882" s="10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  <c r="Q6882" s="11"/>
      <c r="R6882" s="11"/>
      <c r="S6882" s="11"/>
    </row>
    <row r="6883" spans="1:19" s="9" customFormat="1" x14ac:dyDescent="0.25">
      <c r="A6883" s="10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  <c r="Q6883" s="11"/>
      <c r="R6883" s="11"/>
      <c r="S6883" s="11"/>
    </row>
    <row r="6884" spans="1:19" s="9" customFormat="1" x14ac:dyDescent="0.25">
      <c r="A6884" s="10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  <c r="Q6884" s="11"/>
      <c r="R6884" s="11"/>
      <c r="S6884" s="11"/>
    </row>
    <row r="6885" spans="1:19" s="9" customFormat="1" x14ac:dyDescent="0.25">
      <c r="A6885" s="10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  <c r="Q6885" s="11"/>
      <c r="R6885" s="11"/>
      <c r="S6885" s="11"/>
    </row>
    <row r="6886" spans="1:19" s="9" customFormat="1" x14ac:dyDescent="0.25">
      <c r="A6886" s="10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  <c r="Q6886" s="11"/>
      <c r="R6886" s="11"/>
      <c r="S6886" s="11"/>
    </row>
    <row r="6887" spans="1:19" s="9" customFormat="1" x14ac:dyDescent="0.25">
      <c r="A6887" s="10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  <c r="Q6887" s="11"/>
      <c r="R6887" s="11"/>
      <c r="S6887" s="11"/>
    </row>
    <row r="6888" spans="1:19" s="9" customFormat="1" x14ac:dyDescent="0.25">
      <c r="A6888" s="10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  <c r="Q6888" s="11"/>
      <c r="R6888" s="11"/>
      <c r="S6888" s="11"/>
    </row>
    <row r="6889" spans="1:19" s="9" customFormat="1" x14ac:dyDescent="0.25">
      <c r="A6889" s="10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  <c r="Q6889" s="11"/>
      <c r="R6889" s="11"/>
      <c r="S6889" s="11"/>
    </row>
    <row r="6890" spans="1:19" s="9" customFormat="1" x14ac:dyDescent="0.25">
      <c r="A6890" s="10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  <c r="Q6890" s="11"/>
      <c r="R6890" s="11"/>
      <c r="S6890" s="11"/>
    </row>
    <row r="6891" spans="1:19" s="9" customFormat="1" x14ac:dyDescent="0.25">
      <c r="A6891" s="10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  <c r="Q6891" s="11"/>
      <c r="R6891" s="11"/>
      <c r="S6891" s="11"/>
    </row>
    <row r="6892" spans="1:19" s="9" customFormat="1" x14ac:dyDescent="0.25">
      <c r="A6892" s="10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  <c r="Q6892" s="11"/>
      <c r="R6892" s="11"/>
      <c r="S6892" s="11"/>
    </row>
    <row r="6893" spans="1:19" s="9" customFormat="1" x14ac:dyDescent="0.25">
      <c r="A6893" s="10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  <c r="Q6893" s="11"/>
      <c r="R6893" s="11"/>
      <c r="S6893" s="11"/>
    </row>
    <row r="6894" spans="1:19" s="9" customFormat="1" x14ac:dyDescent="0.25">
      <c r="A6894" s="10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  <c r="Q6894" s="11"/>
      <c r="R6894" s="11"/>
      <c r="S6894" s="11"/>
    </row>
    <row r="6895" spans="1:19" s="9" customFormat="1" x14ac:dyDescent="0.25">
      <c r="A6895" s="10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  <c r="Q6895" s="11"/>
      <c r="R6895" s="11"/>
      <c r="S6895" s="11"/>
    </row>
    <row r="6896" spans="1:19" s="9" customFormat="1" x14ac:dyDescent="0.25">
      <c r="A6896" s="10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  <c r="Q6896" s="11"/>
      <c r="R6896" s="11"/>
      <c r="S6896" s="11"/>
    </row>
    <row r="6897" spans="1:19" s="9" customFormat="1" x14ac:dyDescent="0.25">
      <c r="A6897" s="10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  <c r="Q6897" s="11"/>
      <c r="R6897" s="11"/>
      <c r="S6897" s="11"/>
    </row>
    <row r="6898" spans="1:19" s="9" customFormat="1" x14ac:dyDescent="0.25">
      <c r="A6898" s="10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  <c r="Q6898" s="11"/>
      <c r="R6898" s="11"/>
      <c r="S6898" s="11"/>
    </row>
    <row r="6899" spans="1:19" s="9" customFormat="1" x14ac:dyDescent="0.25">
      <c r="A6899" s="10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  <c r="Q6899" s="11"/>
      <c r="R6899" s="11"/>
      <c r="S6899" s="11"/>
    </row>
    <row r="6900" spans="1:19" s="9" customFormat="1" x14ac:dyDescent="0.25">
      <c r="A6900" s="10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  <c r="Q6900" s="11"/>
      <c r="R6900" s="11"/>
      <c r="S6900" s="11"/>
    </row>
    <row r="6901" spans="1:19" s="9" customFormat="1" x14ac:dyDescent="0.25">
      <c r="A6901" s="10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  <c r="Q6901" s="11"/>
      <c r="R6901" s="11"/>
      <c r="S6901" s="11"/>
    </row>
    <row r="6902" spans="1:19" s="9" customFormat="1" x14ac:dyDescent="0.25">
      <c r="A6902" s="10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  <c r="Q6902" s="11"/>
      <c r="R6902" s="11"/>
      <c r="S6902" s="11"/>
    </row>
    <row r="6903" spans="1:19" s="9" customFormat="1" x14ac:dyDescent="0.25">
      <c r="A6903" s="10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  <c r="Q6903" s="11"/>
      <c r="R6903" s="11"/>
      <c r="S6903" s="11"/>
    </row>
    <row r="6904" spans="1:19" s="9" customFormat="1" x14ac:dyDescent="0.25">
      <c r="A6904" s="10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  <c r="Q6904" s="11"/>
      <c r="R6904" s="11"/>
      <c r="S6904" s="11"/>
    </row>
    <row r="6905" spans="1:19" s="9" customFormat="1" x14ac:dyDescent="0.25">
      <c r="A6905" s="10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  <c r="Q6905" s="11"/>
      <c r="R6905" s="11"/>
      <c r="S6905" s="11"/>
    </row>
    <row r="6906" spans="1:19" s="9" customFormat="1" x14ac:dyDescent="0.25">
      <c r="A6906" s="10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  <c r="Q6906" s="11"/>
      <c r="R6906" s="11"/>
      <c r="S6906" s="11"/>
    </row>
    <row r="6907" spans="1:19" s="9" customFormat="1" x14ac:dyDescent="0.25">
      <c r="A6907" s="10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  <c r="Q6907" s="11"/>
      <c r="R6907" s="11"/>
      <c r="S6907" s="11"/>
    </row>
    <row r="6908" spans="1:19" s="9" customFormat="1" x14ac:dyDescent="0.25">
      <c r="A6908" s="10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  <c r="Q6908" s="11"/>
      <c r="R6908" s="11"/>
      <c r="S6908" s="11"/>
    </row>
    <row r="6909" spans="1:19" s="9" customFormat="1" x14ac:dyDescent="0.25">
      <c r="A6909" s="10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  <c r="Q6909" s="11"/>
      <c r="R6909" s="11"/>
      <c r="S6909" s="11"/>
    </row>
    <row r="6910" spans="1:19" s="9" customFormat="1" x14ac:dyDescent="0.25">
      <c r="A6910" s="10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  <c r="Q6910" s="11"/>
      <c r="R6910" s="11"/>
      <c r="S6910" s="11"/>
    </row>
    <row r="6911" spans="1:19" s="9" customFormat="1" x14ac:dyDescent="0.25">
      <c r="A6911" s="10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  <c r="Q6911" s="11"/>
      <c r="R6911" s="11"/>
      <c r="S6911" s="11"/>
    </row>
    <row r="6912" spans="1:19" s="9" customFormat="1" x14ac:dyDescent="0.25">
      <c r="A6912" s="10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  <c r="Q6912" s="11"/>
      <c r="R6912" s="11"/>
      <c r="S6912" s="11"/>
    </row>
    <row r="6913" spans="1:19" s="9" customFormat="1" x14ac:dyDescent="0.25">
      <c r="A6913" s="10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  <c r="Q6913" s="11"/>
      <c r="R6913" s="11"/>
      <c r="S6913" s="11"/>
    </row>
    <row r="6914" spans="1:19" s="9" customFormat="1" x14ac:dyDescent="0.25">
      <c r="A6914" s="10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  <c r="Q6914" s="11"/>
      <c r="R6914" s="11"/>
      <c r="S6914" s="11"/>
    </row>
    <row r="6915" spans="1:19" s="9" customFormat="1" x14ac:dyDescent="0.25">
      <c r="A6915" s="10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  <c r="Q6915" s="11"/>
      <c r="R6915" s="11"/>
      <c r="S6915" s="11"/>
    </row>
    <row r="6916" spans="1:19" s="9" customFormat="1" x14ac:dyDescent="0.25">
      <c r="A6916" s="10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  <c r="Q6916" s="11"/>
      <c r="R6916" s="11"/>
      <c r="S6916" s="11"/>
    </row>
    <row r="6917" spans="1:19" s="9" customFormat="1" x14ac:dyDescent="0.25">
      <c r="A6917" s="10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  <c r="Q6917" s="11"/>
      <c r="R6917" s="11"/>
      <c r="S6917" s="11"/>
    </row>
    <row r="6918" spans="1:19" s="9" customFormat="1" x14ac:dyDescent="0.25">
      <c r="A6918" s="10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  <c r="Q6918" s="11"/>
      <c r="R6918" s="11"/>
      <c r="S6918" s="11"/>
    </row>
    <row r="6919" spans="1:19" s="9" customFormat="1" x14ac:dyDescent="0.25">
      <c r="A6919" s="10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  <c r="Q6919" s="11"/>
      <c r="R6919" s="11"/>
      <c r="S6919" s="11"/>
    </row>
    <row r="6920" spans="1:19" s="9" customFormat="1" x14ac:dyDescent="0.25">
      <c r="A6920" s="10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  <c r="Q6920" s="11"/>
      <c r="R6920" s="11"/>
      <c r="S6920" s="11"/>
    </row>
    <row r="6921" spans="1:19" s="9" customFormat="1" x14ac:dyDescent="0.25">
      <c r="A6921" s="10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  <c r="Q6921" s="11"/>
      <c r="R6921" s="11"/>
      <c r="S6921" s="11"/>
    </row>
    <row r="6922" spans="1:19" s="9" customFormat="1" x14ac:dyDescent="0.25">
      <c r="A6922" s="10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  <c r="Q6922" s="11"/>
      <c r="R6922" s="11"/>
      <c r="S6922" s="11"/>
    </row>
    <row r="6923" spans="1:19" s="9" customFormat="1" x14ac:dyDescent="0.25">
      <c r="A6923" s="10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  <c r="Q6923" s="11"/>
      <c r="R6923" s="11"/>
      <c r="S6923" s="11"/>
    </row>
    <row r="6924" spans="1:19" s="9" customFormat="1" x14ac:dyDescent="0.25">
      <c r="A6924" s="10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  <c r="Q6924" s="11"/>
      <c r="R6924" s="11"/>
      <c r="S6924" s="11"/>
    </row>
    <row r="6925" spans="1:19" s="9" customFormat="1" x14ac:dyDescent="0.25">
      <c r="A6925" s="10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  <c r="Q6925" s="11"/>
      <c r="R6925" s="11"/>
      <c r="S6925" s="11"/>
    </row>
    <row r="6926" spans="1:19" s="9" customFormat="1" x14ac:dyDescent="0.25">
      <c r="A6926" s="10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  <c r="Q6926" s="11"/>
      <c r="R6926" s="11"/>
      <c r="S6926" s="11"/>
    </row>
    <row r="6927" spans="1:19" s="9" customFormat="1" x14ac:dyDescent="0.25">
      <c r="A6927" s="10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  <c r="Q6927" s="11"/>
      <c r="R6927" s="11"/>
      <c r="S6927" s="11"/>
    </row>
    <row r="6928" spans="1:19" s="9" customFormat="1" x14ac:dyDescent="0.25">
      <c r="A6928" s="10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  <c r="Q6928" s="11"/>
      <c r="R6928" s="11"/>
      <c r="S6928" s="11"/>
    </row>
    <row r="6929" spans="1:19" s="9" customFormat="1" x14ac:dyDescent="0.25">
      <c r="A6929" s="10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  <c r="Q6929" s="11"/>
      <c r="R6929" s="11"/>
      <c r="S6929" s="11"/>
    </row>
    <row r="6930" spans="1:19" s="9" customFormat="1" x14ac:dyDescent="0.25">
      <c r="A6930" s="10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  <c r="Q6930" s="11"/>
      <c r="R6930" s="11"/>
      <c r="S6930" s="11"/>
    </row>
    <row r="6931" spans="1:19" s="9" customFormat="1" x14ac:dyDescent="0.25">
      <c r="A6931" s="10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  <c r="Q6931" s="11"/>
      <c r="R6931" s="11"/>
      <c r="S6931" s="11"/>
    </row>
    <row r="6932" spans="1:19" s="9" customFormat="1" x14ac:dyDescent="0.25">
      <c r="A6932" s="10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  <c r="Q6932" s="11"/>
      <c r="R6932" s="11"/>
      <c r="S6932" s="11"/>
    </row>
    <row r="6933" spans="1:19" s="9" customFormat="1" x14ac:dyDescent="0.25">
      <c r="A6933" s="10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  <c r="Q6933" s="11"/>
      <c r="R6933" s="11"/>
      <c r="S6933" s="11"/>
    </row>
    <row r="6934" spans="1:19" s="9" customFormat="1" x14ac:dyDescent="0.25">
      <c r="A6934" s="10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  <c r="Q6934" s="11"/>
      <c r="R6934" s="11"/>
      <c r="S6934" s="11"/>
    </row>
    <row r="6935" spans="1:19" s="9" customFormat="1" x14ac:dyDescent="0.25">
      <c r="A6935" s="10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  <c r="Q6935" s="11"/>
      <c r="R6935" s="11"/>
      <c r="S6935" s="11"/>
    </row>
    <row r="6936" spans="1:19" s="9" customFormat="1" x14ac:dyDescent="0.25">
      <c r="A6936" s="10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  <c r="Q6936" s="11"/>
      <c r="R6936" s="11"/>
      <c r="S6936" s="11"/>
    </row>
    <row r="6937" spans="1:19" s="9" customFormat="1" x14ac:dyDescent="0.25">
      <c r="A6937" s="10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  <c r="Q6937" s="11"/>
      <c r="R6937" s="11"/>
      <c r="S6937" s="11"/>
    </row>
    <row r="6938" spans="1:19" s="9" customFormat="1" x14ac:dyDescent="0.25">
      <c r="A6938" s="10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  <c r="Q6938" s="11"/>
      <c r="R6938" s="11"/>
      <c r="S6938" s="11"/>
    </row>
    <row r="6939" spans="1:19" s="9" customFormat="1" x14ac:dyDescent="0.25">
      <c r="A6939" s="10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  <c r="Q6939" s="11"/>
      <c r="R6939" s="11"/>
      <c r="S6939" s="11"/>
    </row>
    <row r="6940" spans="1:19" s="9" customFormat="1" x14ac:dyDescent="0.25">
      <c r="A6940" s="10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  <c r="Q6940" s="11"/>
      <c r="R6940" s="11"/>
      <c r="S6940" s="11"/>
    </row>
    <row r="6941" spans="1:19" s="9" customFormat="1" x14ac:dyDescent="0.25">
      <c r="A6941" s="10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  <c r="Q6941" s="11"/>
      <c r="R6941" s="11"/>
      <c r="S6941" s="11"/>
    </row>
    <row r="6942" spans="1:19" s="9" customFormat="1" x14ac:dyDescent="0.25">
      <c r="A6942" s="10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  <c r="Q6942" s="11"/>
      <c r="R6942" s="11"/>
      <c r="S6942" s="11"/>
    </row>
    <row r="6943" spans="1:19" s="9" customFormat="1" x14ac:dyDescent="0.25">
      <c r="A6943" s="10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  <c r="Q6943" s="11"/>
      <c r="R6943" s="11"/>
      <c r="S6943" s="11"/>
    </row>
    <row r="6944" spans="1:19" s="9" customFormat="1" x14ac:dyDescent="0.25">
      <c r="A6944" s="10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  <c r="Q6944" s="11"/>
      <c r="R6944" s="11"/>
      <c r="S6944" s="11"/>
    </row>
    <row r="6945" spans="1:19" s="9" customFormat="1" x14ac:dyDescent="0.25">
      <c r="A6945" s="10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  <c r="Q6945" s="11"/>
      <c r="R6945" s="11"/>
      <c r="S6945" s="11"/>
    </row>
    <row r="6946" spans="1:19" s="9" customFormat="1" x14ac:dyDescent="0.25">
      <c r="A6946" s="10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  <c r="Q6946" s="11"/>
      <c r="R6946" s="11"/>
      <c r="S6946" s="11"/>
    </row>
    <row r="6947" spans="1:19" s="9" customFormat="1" x14ac:dyDescent="0.25">
      <c r="A6947" s="10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  <c r="Q6947" s="11"/>
      <c r="R6947" s="11"/>
      <c r="S6947" s="11"/>
    </row>
    <row r="6948" spans="1:19" s="9" customFormat="1" x14ac:dyDescent="0.25">
      <c r="A6948" s="10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  <c r="Q6948" s="11"/>
      <c r="R6948" s="11"/>
      <c r="S6948" s="11"/>
    </row>
    <row r="6949" spans="1:19" s="9" customFormat="1" x14ac:dyDescent="0.25">
      <c r="A6949" s="10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  <c r="Q6949" s="11"/>
      <c r="R6949" s="11"/>
      <c r="S6949" s="11"/>
    </row>
    <row r="6950" spans="1:19" s="9" customFormat="1" x14ac:dyDescent="0.25">
      <c r="A6950" s="10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  <c r="Q6950" s="11"/>
      <c r="R6950" s="11"/>
      <c r="S6950" s="11"/>
    </row>
    <row r="6951" spans="1:19" s="9" customFormat="1" x14ac:dyDescent="0.25">
      <c r="A6951" s="10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  <c r="Q6951" s="11"/>
      <c r="R6951" s="11"/>
      <c r="S6951" s="11"/>
    </row>
    <row r="6952" spans="1:19" s="9" customFormat="1" x14ac:dyDescent="0.25">
      <c r="A6952" s="10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  <c r="Q6952" s="11"/>
      <c r="R6952" s="11"/>
      <c r="S6952" s="11"/>
    </row>
    <row r="6953" spans="1:19" s="9" customFormat="1" x14ac:dyDescent="0.25">
      <c r="A6953" s="10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  <c r="Q6953" s="11"/>
      <c r="R6953" s="11"/>
      <c r="S6953" s="11"/>
    </row>
    <row r="6954" spans="1:19" s="9" customFormat="1" x14ac:dyDescent="0.25">
      <c r="A6954" s="10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  <c r="Q6954" s="11"/>
      <c r="R6954" s="11"/>
      <c r="S6954" s="11"/>
    </row>
    <row r="6955" spans="1:19" s="9" customFormat="1" x14ac:dyDescent="0.25">
      <c r="A6955" s="10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  <c r="Q6955" s="11"/>
      <c r="R6955" s="11"/>
      <c r="S6955" s="11"/>
    </row>
    <row r="6956" spans="1:19" s="9" customFormat="1" x14ac:dyDescent="0.25">
      <c r="A6956" s="10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  <c r="Q6956" s="11"/>
      <c r="R6956" s="11"/>
      <c r="S6956" s="11"/>
    </row>
    <row r="6957" spans="1:19" s="9" customFormat="1" x14ac:dyDescent="0.25">
      <c r="A6957" s="10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  <c r="Q6957" s="11"/>
      <c r="R6957" s="11"/>
      <c r="S6957" s="11"/>
    </row>
    <row r="6958" spans="1:19" s="9" customFormat="1" x14ac:dyDescent="0.25">
      <c r="A6958" s="10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  <c r="Q6958" s="11"/>
      <c r="R6958" s="11"/>
      <c r="S6958" s="11"/>
    </row>
    <row r="6959" spans="1:19" s="9" customFormat="1" x14ac:dyDescent="0.25">
      <c r="A6959" s="10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  <c r="Q6959" s="11"/>
      <c r="R6959" s="11"/>
      <c r="S6959" s="11"/>
    </row>
    <row r="6960" spans="1:19" s="9" customFormat="1" x14ac:dyDescent="0.25">
      <c r="A6960" s="10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  <c r="Q6960" s="11"/>
      <c r="R6960" s="11"/>
      <c r="S6960" s="11"/>
    </row>
    <row r="6961" spans="1:19" s="9" customFormat="1" x14ac:dyDescent="0.25">
      <c r="A6961" s="10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  <c r="Q6961" s="11"/>
      <c r="R6961" s="11"/>
      <c r="S6961" s="11"/>
    </row>
    <row r="6962" spans="1:19" s="9" customFormat="1" x14ac:dyDescent="0.25">
      <c r="A6962" s="10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  <c r="Q6962" s="11"/>
      <c r="R6962" s="11"/>
      <c r="S6962" s="11"/>
    </row>
    <row r="6963" spans="1:19" s="9" customFormat="1" x14ac:dyDescent="0.25">
      <c r="A6963" s="10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  <c r="Q6963" s="11"/>
      <c r="R6963" s="11"/>
      <c r="S6963" s="11"/>
    </row>
    <row r="6964" spans="1:19" s="9" customFormat="1" x14ac:dyDescent="0.25">
      <c r="A6964" s="10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  <c r="Q6964" s="11"/>
      <c r="R6964" s="11"/>
      <c r="S6964" s="11"/>
    </row>
    <row r="6965" spans="1:19" s="9" customFormat="1" x14ac:dyDescent="0.25">
      <c r="A6965" s="10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  <c r="Q6965" s="11"/>
      <c r="R6965" s="11"/>
      <c r="S6965" s="11"/>
    </row>
    <row r="6966" spans="1:19" s="9" customFormat="1" x14ac:dyDescent="0.25">
      <c r="A6966" s="10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  <c r="Q6966" s="11"/>
      <c r="R6966" s="11"/>
      <c r="S6966" s="11"/>
    </row>
    <row r="6967" spans="1:19" s="9" customFormat="1" x14ac:dyDescent="0.25">
      <c r="A6967" s="10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  <c r="Q6967" s="11"/>
      <c r="R6967" s="11"/>
      <c r="S6967" s="11"/>
    </row>
    <row r="6968" spans="1:19" s="9" customFormat="1" x14ac:dyDescent="0.25">
      <c r="A6968" s="10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  <c r="Q6968" s="11"/>
      <c r="R6968" s="11"/>
      <c r="S6968" s="11"/>
    </row>
    <row r="6969" spans="1:19" s="9" customFormat="1" x14ac:dyDescent="0.25">
      <c r="A6969" s="10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  <c r="Q6969" s="11"/>
      <c r="R6969" s="11"/>
      <c r="S6969" s="11"/>
    </row>
    <row r="6970" spans="1:19" s="9" customFormat="1" x14ac:dyDescent="0.25">
      <c r="A6970" s="10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  <c r="Q6970" s="11"/>
      <c r="R6970" s="11"/>
      <c r="S6970" s="11"/>
    </row>
    <row r="6971" spans="1:19" s="9" customFormat="1" x14ac:dyDescent="0.25">
      <c r="A6971" s="10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  <c r="Q6971" s="11"/>
      <c r="R6971" s="11"/>
      <c r="S6971" s="11"/>
    </row>
    <row r="6972" spans="1:19" s="9" customFormat="1" x14ac:dyDescent="0.25">
      <c r="A6972" s="10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  <c r="Q6972" s="11"/>
      <c r="R6972" s="11"/>
      <c r="S6972" s="11"/>
    </row>
    <row r="6973" spans="1:19" s="9" customFormat="1" x14ac:dyDescent="0.25">
      <c r="A6973" s="10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  <c r="Q6973" s="11"/>
      <c r="R6973" s="11"/>
      <c r="S6973" s="11"/>
    </row>
    <row r="6974" spans="1:19" s="9" customFormat="1" x14ac:dyDescent="0.25">
      <c r="A6974" s="10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  <c r="Q6974" s="11"/>
      <c r="R6974" s="11"/>
      <c r="S6974" s="11"/>
    </row>
    <row r="6975" spans="1:19" s="9" customFormat="1" x14ac:dyDescent="0.25">
      <c r="A6975" s="10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  <c r="Q6975" s="11"/>
      <c r="R6975" s="11"/>
      <c r="S6975" s="11"/>
    </row>
    <row r="6976" spans="1:19" s="9" customFormat="1" x14ac:dyDescent="0.25">
      <c r="A6976" s="10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  <c r="Q6976" s="11"/>
      <c r="R6976" s="11"/>
      <c r="S6976" s="11"/>
    </row>
    <row r="6977" spans="1:19" s="9" customFormat="1" x14ac:dyDescent="0.25">
      <c r="A6977" s="10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  <c r="Q6977" s="11"/>
      <c r="R6977" s="11"/>
      <c r="S6977" s="11"/>
    </row>
    <row r="6978" spans="1:19" s="9" customFormat="1" x14ac:dyDescent="0.25">
      <c r="A6978" s="10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  <c r="Q6978" s="11"/>
      <c r="R6978" s="11"/>
      <c r="S6978" s="11"/>
    </row>
    <row r="6979" spans="1:19" s="9" customFormat="1" x14ac:dyDescent="0.25">
      <c r="A6979" s="10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  <c r="Q6979" s="11"/>
      <c r="R6979" s="11"/>
      <c r="S6979" s="11"/>
    </row>
    <row r="6980" spans="1:19" s="9" customFormat="1" x14ac:dyDescent="0.25">
      <c r="A6980" s="10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  <c r="Q6980" s="11"/>
      <c r="R6980" s="11"/>
      <c r="S6980" s="11"/>
    </row>
    <row r="6981" spans="1:19" s="9" customFormat="1" x14ac:dyDescent="0.25">
      <c r="A6981" s="10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  <c r="Q6981" s="11"/>
      <c r="R6981" s="11"/>
      <c r="S6981" s="11"/>
    </row>
    <row r="6982" spans="1:19" s="9" customFormat="1" x14ac:dyDescent="0.25">
      <c r="A6982" s="10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  <c r="Q6982" s="11"/>
      <c r="R6982" s="11"/>
      <c r="S6982" s="11"/>
    </row>
    <row r="6983" spans="1:19" s="9" customFormat="1" x14ac:dyDescent="0.25">
      <c r="A6983" s="10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  <c r="Q6983" s="11"/>
      <c r="R6983" s="11"/>
      <c r="S6983" s="11"/>
    </row>
    <row r="6984" spans="1:19" s="9" customFormat="1" x14ac:dyDescent="0.25">
      <c r="A6984" s="10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  <c r="Q6984" s="11"/>
      <c r="R6984" s="11"/>
      <c r="S6984" s="11"/>
    </row>
    <row r="6985" spans="1:19" s="9" customFormat="1" x14ac:dyDescent="0.25">
      <c r="A6985" s="10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  <c r="Q6985" s="11"/>
      <c r="R6985" s="11"/>
      <c r="S6985" s="11"/>
    </row>
    <row r="6986" spans="1:19" s="9" customFormat="1" x14ac:dyDescent="0.25">
      <c r="A6986" s="10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  <c r="Q6986" s="11"/>
      <c r="R6986" s="11"/>
      <c r="S6986" s="11"/>
    </row>
    <row r="6987" spans="1:19" s="9" customFormat="1" x14ac:dyDescent="0.25">
      <c r="A6987" s="10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  <c r="Q6987" s="11"/>
      <c r="R6987" s="11"/>
      <c r="S6987" s="11"/>
    </row>
    <row r="6988" spans="1:19" s="9" customFormat="1" x14ac:dyDescent="0.25">
      <c r="A6988" s="10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  <c r="Q6988" s="11"/>
      <c r="R6988" s="11"/>
      <c r="S6988" s="11"/>
    </row>
    <row r="6989" spans="1:19" s="9" customFormat="1" x14ac:dyDescent="0.25">
      <c r="A6989" s="10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  <c r="Q6989" s="11"/>
      <c r="R6989" s="11"/>
      <c r="S6989" s="11"/>
    </row>
    <row r="6990" spans="1:19" s="9" customFormat="1" x14ac:dyDescent="0.25">
      <c r="A6990" s="10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  <c r="Q6990" s="11"/>
      <c r="R6990" s="11"/>
      <c r="S6990" s="11"/>
    </row>
    <row r="6991" spans="1:19" s="9" customFormat="1" x14ac:dyDescent="0.25">
      <c r="A6991" s="10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  <c r="Q6991" s="11"/>
      <c r="R6991" s="11"/>
      <c r="S6991" s="11"/>
    </row>
    <row r="6992" spans="1:19" s="9" customFormat="1" x14ac:dyDescent="0.25">
      <c r="A6992" s="10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  <c r="Q6992" s="11"/>
      <c r="R6992" s="11"/>
      <c r="S6992" s="11"/>
    </row>
    <row r="6993" spans="1:19" s="9" customFormat="1" x14ac:dyDescent="0.25">
      <c r="A6993" s="10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  <c r="Q6993" s="11"/>
      <c r="R6993" s="11"/>
      <c r="S6993" s="11"/>
    </row>
    <row r="6994" spans="1:19" s="9" customFormat="1" x14ac:dyDescent="0.25">
      <c r="A6994" s="10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  <c r="Q6994" s="11"/>
      <c r="R6994" s="11"/>
      <c r="S6994" s="11"/>
    </row>
    <row r="6995" spans="1:19" s="9" customFormat="1" x14ac:dyDescent="0.25">
      <c r="A6995" s="10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  <c r="Q6995" s="11"/>
      <c r="R6995" s="11"/>
      <c r="S6995" s="11"/>
    </row>
    <row r="6996" spans="1:19" s="9" customFormat="1" x14ac:dyDescent="0.25">
      <c r="A6996" s="10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  <c r="Q6996" s="11"/>
      <c r="R6996" s="11"/>
      <c r="S6996" s="11"/>
    </row>
    <row r="6997" spans="1:19" s="9" customFormat="1" x14ac:dyDescent="0.25">
      <c r="A6997" s="10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  <c r="Q6997" s="11"/>
      <c r="R6997" s="11"/>
      <c r="S6997" s="11"/>
    </row>
    <row r="6998" spans="1:19" s="9" customFormat="1" x14ac:dyDescent="0.25">
      <c r="A6998" s="10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  <c r="Q6998" s="11"/>
      <c r="R6998" s="11"/>
      <c r="S6998" s="11"/>
    </row>
    <row r="6999" spans="1:19" s="9" customFormat="1" x14ac:dyDescent="0.25">
      <c r="A6999" s="10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  <c r="Q6999" s="11"/>
      <c r="R6999" s="11"/>
      <c r="S6999" s="11"/>
    </row>
    <row r="7000" spans="1:19" s="9" customFormat="1" x14ac:dyDescent="0.25">
      <c r="A7000" s="10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  <c r="Q7000" s="11"/>
      <c r="R7000" s="11"/>
      <c r="S7000" s="11"/>
    </row>
    <row r="7001" spans="1:19" s="9" customFormat="1" x14ac:dyDescent="0.25">
      <c r="A7001" s="10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  <c r="Q7001" s="11"/>
      <c r="R7001" s="11"/>
      <c r="S7001" s="11"/>
    </row>
    <row r="7002" spans="1:19" s="9" customFormat="1" x14ac:dyDescent="0.25">
      <c r="A7002" s="10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  <c r="Q7002" s="11"/>
      <c r="R7002" s="11"/>
      <c r="S7002" s="11"/>
    </row>
    <row r="7003" spans="1:19" s="9" customFormat="1" x14ac:dyDescent="0.25">
      <c r="A7003" s="10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  <c r="Q7003" s="11"/>
      <c r="R7003" s="11"/>
      <c r="S7003" s="11"/>
    </row>
    <row r="7004" spans="1:19" s="9" customFormat="1" x14ac:dyDescent="0.25">
      <c r="A7004" s="10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  <c r="Q7004" s="11"/>
      <c r="R7004" s="11"/>
      <c r="S7004" s="11"/>
    </row>
    <row r="7005" spans="1:19" s="9" customFormat="1" x14ac:dyDescent="0.25">
      <c r="A7005" s="10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  <c r="Q7005" s="11"/>
      <c r="R7005" s="11"/>
      <c r="S7005" s="11"/>
    </row>
    <row r="7006" spans="1:19" s="9" customFormat="1" x14ac:dyDescent="0.25">
      <c r="A7006" s="10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  <c r="Q7006" s="11"/>
      <c r="R7006" s="11"/>
      <c r="S7006" s="11"/>
    </row>
    <row r="7007" spans="1:19" s="9" customFormat="1" x14ac:dyDescent="0.25">
      <c r="A7007" s="10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  <c r="Q7007" s="11"/>
      <c r="R7007" s="11"/>
      <c r="S7007" s="11"/>
    </row>
    <row r="7008" spans="1:19" s="9" customFormat="1" x14ac:dyDescent="0.25">
      <c r="A7008" s="10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  <c r="Q7008" s="11"/>
      <c r="R7008" s="11"/>
      <c r="S7008" s="11"/>
    </row>
    <row r="7009" spans="1:19" s="9" customFormat="1" x14ac:dyDescent="0.25">
      <c r="A7009" s="10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  <c r="Q7009" s="11"/>
      <c r="R7009" s="11"/>
      <c r="S7009" s="11"/>
    </row>
    <row r="7010" spans="1:19" s="9" customFormat="1" x14ac:dyDescent="0.25">
      <c r="A7010" s="10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  <c r="Q7010" s="11"/>
      <c r="R7010" s="11"/>
      <c r="S7010" s="11"/>
    </row>
    <row r="7011" spans="1:19" s="9" customFormat="1" x14ac:dyDescent="0.25">
      <c r="A7011" s="10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  <c r="Q7011" s="11"/>
      <c r="R7011" s="11"/>
      <c r="S7011" s="11"/>
    </row>
    <row r="7012" spans="1:19" s="9" customFormat="1" x14ac:dyDescent="0.25">
      <c r="A7012" s="10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  <c r="Q7012" s="11"/>
      <c r="R7012" s="11"/>
      <c r="S7012" s="11"/>
    </row>
    <row r="7013" spans="1:19" s="9" customFormat="1" x14ac:dyDescent="0.25">
      <c r="A7013" s="10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  <c r="Q7013" s="11"/>
      <c r="R7013" s="11"/>
      <c r="S7013" s="11"/>
    </row>
    <row r="7014" spans="1:19" s="9" customFormat="1" x14ac:dyDescent="0.25">
      <c r="A7014" s="10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  <c r="Q7014" s="11"/>
      <c r="R7014" s="11"/>
      <c r="S7014" s="11"/>
    </row>
    <row r="7015" spans="1:19" s="9" customFormat="1" x14ac:dyDescent="0.25">
      <c r="A7015" s="10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  <c r="Q7015" s="11"/>
      <c r="R7015" s="11"/>
      <c r="S7015" s="11"/>
    </row>
    <row r="7016" spans="1:19" s="9" customFormat="1" x14ac:dyDescent="0.25">
      <c r="A7016" s="10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  <c r="Q7016" s="11"/>
      <c r="R7016" s="11"/>
      <c r="S7016" s="11"/>
    </row>
    <row r="7017" spans="1:19" s="9" customFormat="1" x14ac:dyDescent="0.25">
      <c r="A7017" s="10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  <c r="Q7017" s="11"/>
      <c r="R7017" s="11"/>
      <c r="S7017" s="11"/>
    </row>
    <row r="7018" spans="1:19" s="9" customFormat="1" x14ac:dyDescent="0.25">
      <c r="A7018" s="10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  <c r="Q7018" s="11"/>
      <c r="R7018" s="11"/>
      <c r="S7018" s="11"/>
    </row>
    <row r="7019" spans="1:19" s="9" customFormat="1" x14ac:dyDescent="0.25">
      <c r="A7019" s="10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  <c r="Q7019" s="11"/>
      <c r="R7019" s="11"/>
      <c r="S7019" s="11"/>
    </row>
    <row r="7020" spans="1:19" s="9" customFormat="1" x14ac:dyDescent="0.25">
      <c r="A7020" s="10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  <c r="Q7020" s="11"/>
      <c r="R7020" s="11"/>
      <c r="S7020" s="11"/>
    </row>
    <row r="7021" spans="1:19" s="9" customFormat="1" x14ac:dyDescent="0.25">
      <c r="A7021" s="10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  <c r="Q7021" s="11"/>
      <c r="R7021" s="11"/>
      <c r="S7021" s="11"/>
    </row>
    <row r="7022" spans="1:19" s="9" customFormat="1" x14ac:dyDescent="0.25">
      <c r="A7022" s="10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  <c r="Q7022" s="11"/>
      <c r="R7022" s="11"/>
      <c r="S7022" s="11"/>
    </row>
    <row r="7023" spans="1:19" s="9" customFormat="1" x14ac:dyDescent="0.25">
      <c r="A7023" s="10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  <c r="Q7023" s="11"/>
      <c r="R7023" s="11"/>
      <c r="S7023" s="11"/>
    </row>
    <row r="7024" spans="1:19" s="9" customFormat="1" x14ac:dyDescent="0.25">
      <c r="A7024" s="10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  <c r="Q7024" s="11"/>
      <c r="R7024" s="11"/>
      <c r="S7024" s="11"/>
    </row>
    <row r="7025" spans="1:19" s="9" customFormat="1" x14ac:dyDescent="0.25">
      <c r="A7025" s="10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  <c r="Q7025" s="11"/>
      <c r="R7025" s="11"/>
      <c r="S7025" s="11"/>
    </row>
    <row r="7026" spans="1:19" s="9" customFormat="1" x14ac:dyDescent="0.25">
      <c r="A7026" s="10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  <c r="Q7026" s="11"/>
      <c r="R7026" s="11"/>
      <c r="S7026" s="11"/>
    </row>
    <row r="7027" spans="1:19" s="9" customFormat="1" x14ac:dyDescent="0.25">
      <c r="A7027" s="10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  <c r="Q7027" s="11"/>
      <c r="R7027" s="11"/>
      <c r="S7027" s="11"/>
    </row>
    <row r="7028" spans="1:19" s="9" customFormat="1" x14ac:dyDescent="0.25">
      <c r="A7028" s="10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  <c r="Q7028" s="11"/>
      <c r="R7028" s="11"/>
      <c r="S7028" s="11"/>
    </row>
    <row r="7029" spans="1:19" s="9" customFormat="1" x14ac:dyDescent="0.25">
      <c r="A7029" s="10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  <c r="Q7029" s="11"/>
      <c r="R7029" s="11"/>
      <c r="S7029" s="11"/>
    </row>
    <row r="7030" spans="1:19" s="9" customFormat="1" x14ac:dyDescent="0.25">
      <c r="A7030" s="10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  <c r="Q7030" s="11"/>
      <c r="R7030" s="11"/>
      <c r="S7030" s="11"/>
    </row>
    <row r="7031" spans="1:19" s="9" customFormat="1" x14ac:dyDescent="0.25">
      <c r="A7031" s="10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  <c r="Q7031" s="11"/>
      <c r="R7031" s="11"/>
      <c r="S7031" s="11"/>
    </row>
    <row r="7032" spans="1:19" s="9" customFormat="1" x14ac:dyDescent="0.25">
      <c r="A7032" s="10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  <c r="Q7032" s="11"/>
      <c r="R7032" s="11"/>
      <c r="S7032" s="11"/>
    </row>
    <row r="7033" spans="1:19" s="9" customFormat="1" x14ac:dyDescent="0.25">
      <c r="A7033" s="10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  <c r="Q7033" s="11"/>
      <c r="R7033" s="11"/>
      <c r="S7033" s="11"/>
    </row>
    <row r="7034" spans="1:19" s="9" customFormat="1" x14ac:dyDescent="0.25">
      <c r="A7034" s="10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  <c r="Q7034" s="11"/>
      <c r="R7034" s="11"/>
      <c r="S7034" s="11"/>
    </row>
    <row r="7035" spans="1:19" s="9" customFormat="1" x14ac:dyDescent="0.25">
      <c r="A7035" s="10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  <c r="Q7035" s="11"/>
      <c r="R7035" s="11"/>
      <c r="S7035" s="11"/>
    </row>
    <row r="7036" spans="1:19" s="9" customFormat="1" x14ac:dyDescent="0.25">
      <c r="A7036" s="10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  <c r="Q7036" s="11"/>
      <c r="R7036" s="11"/>
      <c r="S7036" s="11"/>
    </row>
    <row r="7037" spans="1:19" s="9" customFormat="1" x14ac:dyDescent="0.25">
      <c r="A7037" s="10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  <c r="Q7037" s="11"/>
      <c r="R7037" s="11"/>
      <c r="S7037" s="11"/>
    </row>
    <row r="7038" spans="1:19" s="9" customFormat="1" x14ac:dyDescent="0.25">
      <c r="A7038" s="10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  <c r="Q7038" s="11"/>
      <c r="R7038" s="11"/>
      <c r="S7038" s="11"/>
    </row>
    <row r="7039" spans="1:19" s="9" customFormat="1" x14ac:dyDescent="0.25">
      <c r="A7039" s="10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  <c r="Q7039" s="11"/>
      <c r="R7039" s="11"/>
      <c r="S7039" s="11"/>
    </row>
    <row r="7040" spans="1:19" s="9" customFormat="1" x14ac:dyDescent="0.25">
      <c r="A7040" s="10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  <c r="Q7040" s="11"/>
      <c r="R7040" s="11"/>
      <c r="S7040" s="11"/>
    </row>
    <row r="7041" spans="1:19" s="9" customFormat="1" x14ac:dyDescent="0.25">
      <c r="A7041" s="10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  <c r="Q7041" s="11"/>
      <c r="R7041" s="11"/>
      <c r="S7041" s="11"/>
    </row>
    <row r="7042" spans="1:19" s="9" customFormat="1" x14ac:dyDescent="0.25">
      <c r="A7042" s="10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  <c r="Q7042" s="11"/>
      <c r="R7042" s="11"/>
      <c r="S7042" s="11"/>
    </row>
    <row r="7043" spans="1:19" s="9" customFormat="1" x14ac:dyDescent="0.25">
      <c r="A7043" s="10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  <c r="Q7043" s="11"/>
      <c r="R7043" s="11"/>
      <c r="S7043" s="11"/>
    </row>
    <row r="7044" spans="1:19" s="9" customFormat="1" x14ac:dyDescent="0.25">
      <c r="A7044" s="10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  <c r="Q7044" s="11"/>
      <c r="R7044" s="11"/>
      <c r="S7044" s="11"/>
    </row>
    <row r="7045" spans="1:19" s="9" customFormat="1" x14ac:dyDescent="0.25">
      <c r="A7045" s="10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  <c r="Q7045" s="11"/>
      <c r="R7045" s="11"/>
      <c r="S7045" s="11"/>
    </row>
    <row r="7046" spans="1:19" s="9" customFormat="1" x14ac:dyDescent="0.25">
      <c r="A7046" s="10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  <c r="Q7046" s="11"/>
      <c r="R7046" s="11"/>
      <c r="S7046" s="11"/>
    </row>
    <row r="7047" spans="1:19" s="9" customFormat="1" x14ac:dyDescent="0.25">
      <c r="A7047" s="10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  <c r="Q7047" s="11"/>
      <c r="R7047" s="11"/>
      <c r="S7047" s="11"/>
    </row>
    <row r="7048" spans="1:19" s="9" customFormat="1" x14ac:dyDescent="0.25">
      <c r="A7048" s="10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  <c r="Q7048" s="11"/>
      <c r="R7048" s="11"/>
      <c r="S7048" s="11"/>
    </row>
    <row r="7049" spans="1:19" s="9" customFormat="1" x14ac:dyDescent="0.25">
      <c r="A7049" s="10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  <c r="Q7049" s="11"/>
      <c r="R7049" s="11"/>
      <c r="S7049" s="11"/>
    </row>
    <row r="7050" spans="1:19" s="9" customFormat="1" x14ac:dyDescent="0.25">
      <c r="A7050" s="10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  <c r="Q7050" s="11"/>
      <c r="R7050" s="11"/>
      <c r="S7050" s="11"/>
    </row>
    <row r="7051" spans="1:19" s="9" customFormat="1" x14ac:dyDescent="0.25">
      <c r="A7051" s="10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  <c r="Q7051" s="11"/>
      <c r="R7051" s="11"/>
      <c r="S7051" s="11"/>
    </row>
    <row r="7052" spans="1:19" s="9" customFormat="1" x14ac:dyDescent="0.25">
      <c r="A7052" s="10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  <c r="Q7052" s="11"/>
      <c r="R7052" s="11"/>
      <c r="S7052" s="11"/>
    </row>
    <row r="7053" spans="1:19" s="9" customFormat="1" x14ac:dyDescent="0.25">
      <c r="A7053" s="10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  <c r="Q7053" s="11"/>
      <c r="R7053" s="11"/>
      <c r="S7053" s="11"/>
    </row>
    <row r="7054" spans="1:19" s="9" customFormat="1" x14ac:dyDescent="0.25">
      <c r="A7054" s="10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  <c r="Q7054" s="11"/>
      <c r="R7054" s="11"/>
      <c r="S7054" s="11"/>
    </row>
    <row r="7055" spans="1:19" s="9" customFormat="1" x14ac:dyDescent="0.25">
      <c r="A7055" s="10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  <c r="Q7055" s="11"/>
      <c r="R7055" s="11"/>
      <c r="S7055" s="11"/>
    </row>
    <row r="7056" spans="1:19" s="9" customFormat="1" x14ac:dyDescent="0.25">
      <c r="A7056" s="10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  <c r="Q7056" s="11"/>
      <c r="R7056" s="11"/>
      <c r="S7056" s="11"/>
    </row>
    <row r="7057" spans="1:19" s="9" customFormat="1" x14ac:dyDescent="0.25">
      <c r="A7057" s="10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  <c r="Q7057" s="11"/>
      <c r="R7057" s="11"/>
      <c r="S7057" s="11"/>
    </row>
    <row r="7058" spans="1:19" s="9" customFormat="1" x14ac:dyDescent="0.25">
      <c r="A7058" s="10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  <c r="Q7058" s="11"/>
      <c r="R7058" s="11"/>
      <c r="S7058" s="11"/>
    </row>
    <row r="7059" spans="1:19" s="9" customFormat="1" x14ac:dyDescent="0.25">
      <c r="A7059" s="10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  <c r="Q7059" s="11"/>
      <c r="R7059" s="11"/>
      <c r="S7059" s="11"/>
    </row>
    <row r="7060" spans="1:19" s="9" customFormat="1" x14ac:dyDescent="0.25">
      <c r="A7060" s="10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  <c r="Q7060" s="11"/>
      <c r="R7060" s="11"/>
      <c r="S7060" s="11"/>
    </row>
    <row r="7061" spans="1:19" s="9" customFormat="1" x14ac:dyDescent="0.25">
      <c r="A7061" s="10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  <c r="Q7061" s="11"/>
      <c r="R7061" s="11"/>
      <c r="S7061" s="11"/>
    </row>
    <row r="7062" spans="1:19" s="9" customFormat="1" x14ac:dyDescent="0.25">
      <c r="A7062" s="10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  <c r="Q7062" s="11"/>
      <c r="R7062" s="11"/>
      <c r="S7062" s="11"/>
    </row>
    <row r="7063" spans="1:19" s="9" customFormat="1" x14ac:dyDescent="0.25">
      <c r="A7063" s="10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  <c r="Q7063" s="11"/>
      <c r="R7063" s="11"/>
      <c r="S7063" s="11"/>
    </row>
    <row r="7064" spans="1:19" s="9" customFormat="1" x14ac:dyDescent="0.25">
      <c r="A7064" s="10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  <c r="Q7064" s="11"/>
      <c r="R7064" s="11"/>
      <c r="S7064" s="11"/>
    </row>
    <row r="7065" spans="1:19" s="9" customFormat="1" x14ac:dyDescent="0.25">
      <c r="A7065" s="10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  <c r="Q7065" s="11"/>
      <c r="R7065" s="11"/>
      <c r="S7065" s="11"/>
    </row>
    <row r="7066" spans="1:19" s="9" customFormat="1" x14ac:dyDescent="0.25">
      <c r="A7066" s="10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  <c r="Q7066" s="11"/>
      <c r="R7066" s="11"/>
      <c r="S7066" s="11"/>
    </row>
    <row r="7067" spans="1:19" s="9" customFormat="1" x14ac:dyDescent="0.25">
      <c r="A7067" s="10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  <c r="Q7067" s="11"/>
      <c r="R7067" s="11"/>
      <c r="S7067" s="11"/>
    </row>
    <row r="7068" spans="1:19" s="9" customFormat="1" x14ac:dyDescent="0.25">
      <c r="A7068" s="10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  <c r="Q7068" s="11"/>
      <c r="R7068" s="11"/>
      <c r="S7068" s="11"/>
    </row>
    <row r="7069" spans="1:19" s="9" customFormat="1" x14ac:dyDescent="0.25">
      <c r="A7069" s="10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  <c r="Q7069" s="11"/>
      <c r="R7069" s="11"/>
      <c r="S7069" s="11"/>
    </row>
    <row r="7070" spans="1:19" s="9" customFormat="1" x14ac:dyDescent="0.25">
      <c r="A7070" s="10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  <c r="Q7070" s="11"/>
      <c r="R7070" s="11"/>
      <c r="S7070" s="11"/>
    </row>
    <row r="7071" spans="1:19" s="9" customFormat="1" x14ac:dyDescent="0.25">
      <c r="A7071" s="10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  <c r="Q7071" s="11"/>
      <c r="R7071" s="11"/>
      <c r="S7071" s="11"/>
    </row>
    <row r="7072" spans="1:19" s="9" customFormat="1" x14ac:dyDescent="0.25">
      <c r="A7072" s="10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  <c r="Q7072" s="11"/>
      <c r="R7072" s="11"/>
      <c r="S7072" s="11"/>
    </row>
    <row r="7073" spans="1:19" s="9" customFormat="1" x14ac:dyDescent="0.25">
      <c r="A7073" s="10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  <c r="Q7073" s="11"/>
      <c r="R7073" s="11"/>
      <c r="S7073" s="11"/>
    </row>
    <row r="7074" spans="1:19" s="9" customFormat="1" x14ac:dyDescent="0.25">
      <c r="A7074" s="10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  <c r="Q7074" s="11"/>
      <c r="R7074" s="11"/>
      <c r="S7074" s="11"/>
    </row>
    <row r="7075" spans="1:19" s="9" customFormat="1" x14ac:dyDescent="0.25">
      <c r="A7075" s="10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  <c r="Q7075" s="11"/>
      <c r="R7075" s="11"/>
      <c r="S7075" s="11"/>
    </row>
    <row r="7076" spans="1:19" s="9" customFormat="1" x14ac:dyDescent="0.25">
      <c r="A7076" s="10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  <c r="Q7076" s="11"/>
      <c r="R7076" s="11"/>
      <c r="S7076" s="11"/>
    </row>
    <row r="7077" spans="1:19" s="9" customFormat="1" x14ac:dyDescent="0.25">
      <c r="A7077" s="10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  <c r="Q7077" s="11"/>
      <c r="R7077" s="11"/>
      <c r="S7077" s="11"/>
    </row>
    <row r="7078" spans="1:19" s="9" customFormat="1" x14ac:dyDescent="0.25">
      <c r="A7078" s="10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  <c r="Q7078" s="11"/>
      <c r="R7078" s="11"/>
      <c r="S7078" s="11"/>
    </row>
    <row r="7079" spans="1:19" s="9" customFormat="1" x14ac:dyDescent="0.25">
      <c r="A7079" s="10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  <c r="Q7079" s="11"/>
      <c r="R7079" s="11"/>
      <c r="S7079" s="11"/>
    </row>
    <row r="7080" spans="1:19" s="9" customFormat="1" x14ac:dyDescent="0.25">
      <c r="A7080" s="10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  <c r="Q7080" s="11"/>
      <c r="R7080" s="11"/>
      <c r="S7080" s="11"/>
    </row>
    <row r="7081" spans="1:19" s="9" customFormat="1" x14ac:dyDescent="0.25">
      <c r="A7081" s="10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  <c r="Q7081" s="11"/>
      <c r="R7081" s="11"/>
      <c r="S7081" s="11"/>
    </row>
    <row r="7082" spans="1:19" s="9" customFormat="1" x14ac:dyDescent="0.25">
      <c r="A7082" s="10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  <c r="Q7082" s="11"/>
      <c r="R7082" s="11"/>
      <c r="S7082" s="11"/>
    </row>
    <row r="7083" spans="1:19" s="9" customFormat="1" x14ac:dyDescent="0.25">
      <c r="A7083" s="10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  <c r="Q7083" s="11"/>
      <c r="R7083" s="11"/>
      <c r="S7083" s="11"/>
    </row>
    <row r="7084" spans="1:19" s="9" customFormat="1" x14ac:dyDescent="0.25">
      <c r="A7084" s="10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  <c r="Q7084" s="11"/>
      <c r="R7084" s="11"/>
      <c r="S7084" s="11"/>
    </row>
    <row r="7085" spans="1:19" s="9" customFormat="1" x14ac:dyDescent="0.25">
      <c r="A7085" s="10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  <c r="Q7085" s="11"/>
      <c r="R7085" s="11"/>
      <c r="S7085" s="11"/>
    </row>
    <row r="7086" spans="1:19" s="9" customFormat="1" x14ac:dyDescent="0.25">
      <c r="A7086" s="10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  <c r="Q7086" s="11"/>
      <c r="R7086" s="11"/>
      <c r="S7086" s="11"/>
    </row>
    <row r="7087" spans="1:19" s="9" customFormat="1" x14ac:dyDescent="0.25">
      <c r="A7087" s="10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  <c r="Q7087" s="11"/>
      <c r="R7087" s="11"/>
      <c r="S7087" s="11"/>
    </row>
    <row r="7088" spans="1:19" s="9" customFormat="1" x14ac:dyDescent="0.25">
      <c r="A7088" s="10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  <c r="Q7088" s="11"/>
      <c r="R7088" s="11"/>
      <c r="S7088" s="11"/>
    </row>
    <row r="7089" spans="1:19" s="9" customFormat="1" x14ac:dyDescent="0.25">
      <c r="A7089" s="10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  <c r="Q7089" s="11"/>
      <c r="R7089" s="11"/>
      <c r="S7089" s="11"/>
    </row>
    <row r="7090" spans="1:19" s="9" customFormat="1" x14ac:dyDescent="0.25">
      <c r="A7090" s="10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  <c r="Q7090" s="11"/>
      <c r="R7090" s="11"/>
      <c r="S7090" s="11"/>
    </row>
    <row r="7091" spans="1:19" s="9" customFormat="1" x14ac:dyDescent="0.25">
      <c r="A7091" s="10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  <c r="Q7091" s="11"/>
      <c r="R7091" s="11"/>
      <c r="S7091" s="11"/>
    </row>
    <row r="7092" spans="1:19" s="9" customFormat="1" x14ac:dyDescent="0.25">
      <c r="A7092" s="10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  <c r="Q7092" s="11"/>
      <c r="R7092" s="11"/>
      <c r="S7092" s="11"/>
    </row>
    <row r="7093" spans="1:19" s="9" customFormat="1" x14ac:dyDescent="0.25">
      <c r="A7093" s="10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  <c r="Q7093" s="11"/>
      <c r="R7093" s="11"/>
      <c r="S7093" s="11"/>
    </row>
    <row r="7094" spans="1:19" s="9" customFormat="1" x14ac:dyDescent="0.25">
      <c r="A7094" s="10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  <c r="Q7094" s="11"/>
      <c r="R7094" s="11"/>
      <c r="S7094" s="11"/>
    </row>
    <row r="7095" spans="1:19" s="9" customFormat="1" x14ac:dyDescent="0.25">
      <c r="A7095" s="10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  <c r="Q7095" s="11"/>
      <c r="R7095" s="11"/>
      <c r="S7095" s="11"/>
    </row>
    <row r="7096" spans="1:19" s="9" customFormat="1" x14ac:dyDescent="0.25">
      <c r="A7096" s="10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  <c r="Q7096" s="11"/>
      <c r="R7096" s="11"/>
      <c r="S7096" s="11"/>
    </row>
    <row r="7097" spans="1:19" s="9" customFormat="1" x14ac:dyDescent="0.25">
      <c r="A7097" s="10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  <c r="Q7097" s="11"/>
      <c r="R7097" s="11"/>
      <c r="S7097" s="11"/>
    </row>
    <row r="7098" spans="1:19" s="9" customFormat="1" x14ac:dyDescent="0.25">
      <c r="A7098" s="10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  <c r="Q7098" s="11"/>
      <c r="R7098" s="11"/>
      <c r="S7098" s="11"/>
    </row>
    <row r="7099" spans="1:19" s="9" customFormat="1" x14ac:dyDescent="0.25">
      <c r="A7099" s="10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  <c r="Q7099" s="11"/>
      <c r="R7099" s="11"/>
      <c r="S7099" s="11"/>
    </row>
    <row r="7100" spans="1:19" s="9" customFormat="1" x14ac:dyDescent="0.25">
      <c r="A7100" s="10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  <c r="Q7100" s="11"/>
      <c r="R7100" s="11"/>
      <c r="S7100" s="11"/>
    </row>
    <row r="7101" spans="1:19" s="9" customFormat="1" x14ac:dyDescent="0.25">
      <c r="A7101" s="10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  <c r="Q7101" s="11"/>
      <c r="R7101" s="11"/>
      <c r="S7101" s="11"/>
    </row>
    <row r="7102" spans="1:19" s="9" customFormat="1" x14ac:dyDescent="0.25">
      <c r="A7102" s="10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  <c r="Q7102" s="11"/>
      <c r="R7102" s="11"/>
      <c r="S7102" s="11"/>
    </row>
    <row r="7103" spans="1:19" s="9" customFormat="1" x14ac:dyDescent="0.25">
      <c r="A7103" s="10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  <c r="Q7103" s="11"/>
      <c r="R7103" s="11"/>
      <c r="S7103" s="11"/>
    </row>
    <row r="7104" spans="1:19" s="9" customFormat="1" x14ac:dyDescent="0.25">
      <c r="A7104" s="10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  <c r="Q7104" s="11"/>
      <c r="R7104" s="11"/>
      <c r="S7104" s="11"/>
    </row>
    <row r="7105" spans="1:19" s="9" customFormat="1" x14ac:dyDescent="0.25">
      <c r="A7105" s="10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  <c r="Q7105" s="11"/>
      <c r="R7105" s="11"/>
      <c r="S7105" s="11"/>
    </row>
    <row r="7106" spans="1:19" s="9" customFormat="1" x14ac:dyDescent="0.25">
      <c r="A7106" s="10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  <c r="Q7106" s="11"/>
      <c r="R7106" s="11"/>
      <c r="S7106" s="11"/>
    </row>
    <row r="7107" spans="1:19" s="9" customFormat="1" x14ac:dyDescent="0.25">
      <c r="A7107" s="10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  <c r="Q7107" s="11"/>
      <c r="R7107" s="11"/>
      <c r="S7107" s="11"/>
    </row>
    <row r="7108" spans="1:19" s="9" customFormat="1" x14ac:dyDescent="0.25">
      <c r="A7108" s="10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  <c r="Q7108" s="11"/>
      <c r="R7108" s="11"/>
      <c r="S7108" s="11"/>
    </row>
    <row r="7109" spans="1:19" s="9" customFormat="1" x14ac:dyDescent="0.25">
      <c r="A7109" s="10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  <c r="Q7109" s="11"/>
      <c r="R7109" s="11"/>
      <c r="S7109" s="11"/>
    </row>
    <row r="7110" spans="1:19" s="9" customFormat="1" x14ac:dyDescent="0.25">
      <c r="A7110" s="10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  <c r="Q7110" s="11"/>
      <c r="R7110" s="11"/>
      <c r="S7110" s="11"/>
    </row>
    <row r="7111" spans="1:19" s="9" customFormat="1" x14ac:dyDescent="0.25">
      <c r="A7111" s="10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  <c r="Q7111" s="11"/>
      <c r="R7111" s="11"/>
      <c r="S7111" s="11"/>
    </row>
    <row r="7112" spans="1:19" s="9" customFormat="1" x14ac:dyDescent="0.25">
      <c r="A7112" s="10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  <c r="Q7112" s="11"/>
      <c r="R7112" s="11"/>
      <c r="S7112" s="11"/>
    </row>
    <row r="7113" spans="1:19" s="9" customFormat="1" x14ac:dyDescent="0.25">
      <c r="A7113" s="10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  <c r="Q7113" s="11"/>
      <c r="R7113" s="11"/>
      <c r="S7113" s="11"/>
    </row>
    <row r="7114" spans="1:19" s="9" customFormat="1" x14ac:dyDescent="0.25">
      <c r="A7114" s="10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  <c r="Q7114" s="11"/>
      <c r="R7114" s="11"/>
      <c r="S7114" s="11"/>
    </row>
    <row r="7115" spans="1:19" s="9" customFormat="1" x14ac:dyDescent="0.25">
      <c r="A7115" s="10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  <c r="Q7115" s="11"/>
      <c r="R7115" s="11"/>
      <c r="S7115" s="11"/>
    </row>
    <row r="7116" spans="1:19" s="9" customFormat="1" x14ac:dyDescent="0.25">
      <c r="A7116" s="10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  <c r="Q7116" s="11"/>
      <c r="R7116" s="11"/>
      <c r="S7116" s="11"/>
    </row>
    <row r="7117" spans="1:19" s="9" customFormat="1" x14ac:dyDescent="0.25">
      <c r="A7117" s="10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  <c r="Q7117" s="11"/>
      <c r="R7117" s="11"/>
      <c r="S7117" s="11"/>
    </row>
    <row r="7118" spans="1:19" s="9" customFormat="1" x14ac:dyDescent="0.25">
      <c r="A7118" s="10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  <c r="Q7118" s="11"/>
      <c r="R7118" s="11"/>
      <c r="S7118" s="11"/>
    </row>
    <row r="7119" spans="1:19" s="9" customFormat="1" x14ac:dyDescent="0.25">
      <c r="A7119" s="10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  <c r="Q7119" s="11"/>
      <c r="R7119" s="11"/>
      <c r="S7119" s="11"/>
    </row>
    <row r="7120" spans="1:19" s="9" customFormat="1" x14ac:dyDescent="0.25">
      <c r="A7120" s="10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  <c r="Q7120" s="11"/>
      <c r="R7120" s="11"/>
      <c r="S7120" s="11"/>
    </row>
    <row r="7121" spans="1:19" s="9" customFormat="1" x14ac:dyDescent="0.25">
      <c r="A7121" s="10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  <c r="Q7121" s="11"/>
      <c r="R7121" s="11"/>
      <c r="S7121" s="11"/>
    </row>
    <row r="7122" spans="1:19" s="9" customFormat="1" x14ac:dyDescent="0.25">
      <c r="A7122" s="10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  <c r="Q7122" s="11"/>
      <c r="R7122" s="11"/>
      <c r="S7122" s="11"/>
    </row>
    <row r="7123" spans="1:19" s="9" customFormat="1" x14ac:dyDescent="0.25">
      <c r="A7123" s="10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  <c r="Q7123" s="11"/>
      <c r="R7123" s="11"/>
      <c r="S7123" s="11"/>
    </row>
    <row r="7124" spans="1:19" s="9" customFormat="1" x14ac:dyDescent="0.25">
      <c r="A7124" s="10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  <c r="Q7124" s="11"/>
      <c r="R7124" s="11"/>
      <c r="S7124" s="11"/>
    </row>
    <row r="7125" spans="1:19" s="9" customFormat="1" x14ac:dyDescent="0.25">
      <c r="A7125" s="10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  <c r="Q7125" s="11"/>
      <c r="R7125" s="11"/>
      <c r="S7125" s="11"/>
    </row>
    <row r="7126" spans="1:19" s="9" customFormat="1" x14ac:dyDescent="0.25">
      <c r="A7126" s="10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  <c r="Q7126" s="11"/>
      <c r="R7126" s="11"/>
      <c r="S7126" s="11"/>
    </row>
    <row r="7127" spans="1:19" s="9" customFormat="1" x14ac:dyDescent="0.25">
      <c r="A7127" s="10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  <c r="Q7127" s="11"/>
      <c r="R7127" s="11"/>
      <c r="S7127" s="11"/>
    </row>
    <row r="7128" spans="1:19" s="9" customFormat="1" x14ac:dyDescent="0.25">
      <c r="A7128" s="10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  <c r="Q7128" s="11"/>
      <c r="R7128" s="11"/>
      <c r="S7128" s="11"/>
    </row>
    <row r="7129" spans="1:19" s="9" customFormat="1" x14ac:dyDescent="0.25">
      <c r="A7129" s="10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  <c r="Q7129" s="11"/>
      <c r="R7129" s="11"/>
      <c r="S7129" s="11"/>
    </row>
    <row r="7130" spans="1:19" s="9" customFormat="1" x14ac:dyDescent="0.25">
      <c r="A7130" s="10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  <c r="Q7130" s="11"/>
      <c r="R7130" s="11"/>
      <c r="S7130" s="11"/>
    </row>
    <row r="7131" spans="1:19" s="9" customFormat="1" x14ac:dyDescent="0.25">
      <c r="A7131" s="10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  <c r="Q7131" s="11"/>
      <c r="R7131" s="11"/>
      <c r="S7131" s="11"/>
    </row>
    <row r="7132" spans="1:19" s="9" customFormat="1" x14ac:dyDescent="0.25">
      <c r="A7132" s="10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  <c r="Q7132" s="11"/>
      <c r="R7132" s="11"/>
      <c r="S7132" s="11"/>
    </row>
    <row r="7133" spans="1:19" s="9" customFormat="1" x14ac:dyDescent="0.25">
      <c r="A7133" s="10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  <c r="Q7133" s="11"/>
      <c r="R7133" s="11"/>
      <c r="S7133" s="11"/>
    </row>
    <row r="7134" spans="1:19" s="9" customFormat="1" x14ac:dyDescent="0.25">
      <c r="A7134" s="10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  <c r="Q7134" s="11"/>
      <c r="R7134" s="11"/>
      <c r="S7134" s="11"/>
    </row>
    <row r="7135" spans="1:19" s="9" customFormat="1" x14ac:dyDescent="0.25">
      <c r="A7135" s="10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  <c r="Q7135" s="11"/>
      <c r="R7135" s="11"/>
      <c r="S7135" s="11"/>
    </row>
    <row r="7136" spans="1:19" s="9" customFormat="1" x14ac:dyDescent="0.25">
      <c r="A7136" s="10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  <c r="Q7136" s="11"/>
      <c r="R7136" s="11"/>
      <c r="S7136" s="11"/>
    </row>
    <row r="7137" spans="1:19" s="9" customFormat="1" x14ac:dyDescent="0.25">
      <c r="A7137" s="10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  <c r="Q7137" s="11"/>
      <c r="R7137" s="11"/>
      <c r="S7137" s="11"/>
    </row>
    <row r="7138" spans="1:19" s="9" customFormat="1" x14ac:dyDescent="0.25">
      <c r="A7138" s="10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  <c r="Q7138" s="11"/>
      <c r="R7138" s="11"/>
      <c r="S7138" s="11"/>
    </row>
    <row r="7139" spans="1:19" s="9" customFormat="1" x14ac:dyDescent="0.25">
      <c r="A7139" s="10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  <c r="Q7139" s="11"/>
      <c r="R7139" s="11"/>
      <c r="S7139" s="11"/>
    </row>
    <row r="7140" spans="1:19" s="9" customFormat="1" x14ac:dyDescent="0.25">
      <c r="A7140" s="10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  <c r="Q7140" s="11"/>
      <c r="R7140" s="11"/>
      <c r="S7140" s="11"/>
    </row>
    <row r="7141" spans="1:19" s="9" customFormat="1" x14ac:dyDescent="0.25">
      <c r="A7141" s="10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  <c r="Q7141" s="11"/>
      <c r="R7141" s="11"/>
      <c r="S7141" s="11"/>
    </row>
    <row r="7142" spans="1:19" s="9" customFormat="1" x14ac:dyDescent="0.25">
      <c r="A7142" s="10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  <c r="Q7142" s="11"/>
      <c r="R7142" s="11"/>
      <c r="S7142" s="11"/>
    </row>
    <row r="7143" spans="1:19" s="9" customFormat="1" x14ac:dyDescent="0.25">
      <c r="A7143" s="10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  <c r="Q7143" s="11"/>
      <c r="R7143" s="11"/>
      <c r="S7143" s="11"/>
    </row>
    <row r="7144" spans="1:19" s="9" customFormat="1" x14ac:dyDescent="0.25">
      <c r="A7144" s="10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  <c r="Q7144" s="11"/>
      <c r="R7144" s="11"/>
      <c r="S7144" s="11"/>
    </row>
    <row r="7145" spans="1:19" s="9" customFormat="1" x14ac:dyDescent="0.25">
      <c r="A7145" s="10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  <c r="Q7145" s="11"/>
      <c r="R7145" s="11"/>
      <c r="S7145" s="11"/>
    </row>
    <row r="7146" spans="1:19" s="9" customFormat="1" x14ac:dyDescent="0.25">
      <c r="A7146" s="10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  <c r="Q7146" s="11"/>
      <c r="R7146" s="11"/>
      <c r="S7146" s="11"/>
    </row>
    <row r="7147" spans="1:19" s="9" customFormat="1" x14ac:dyDescent="0.25">
      <c r="A7147" s="10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  <c r="Q7147" s="11"/>
      <c r="R7147" s="11"/>
      <c r="S7147" s="11"/>
    </row>
    <row r="7148" spans="1:19" s="9" customFormat="1" x14ac:dyDescent="0.25">
      <c r="A7148" s="10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  <c r="Q7148" s="11"/>
      <c r="R7148" s="11"/>
      <c r="S7148" s="11"/>
    </row>
    <row r="7149" spans="1:19" s="9" customFormat="1" x14ac:dyDescent="0.25">
      <c r="A7149" s="10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  <c r="Q7149" s="11"/>
      <c r="R7149" s="11"/>
      <c r="S7149" s="11"/>
    </row>
    <row r="7150" spans="1:19" s="9" customFormat="1" x14ac:dyDescent="0.25">
      <c r="A7150" s="10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  <c r="Q7150" s="11"/>
      <c r="R7150" s="11"/>
      <c r="S7150" s="11"/>
    </row>
    <row r="7151" spans="1:19" s="9" customFormat="1" x14ac:dyDescent="0.25">
      <c r="A7151" s="10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  <c r="Q7151" s="11"/>
      <c r="R7151" s="11"/>
      <c r="S7151" s="11"/>
    </row>
    <row r="7152" spans="1:19" s="9" customFormat="1" x14ac:dyDescent="0.25">
      <c r="A7152" s="10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  <c r="Q7152" s="11"/>
      <c r="R7152" s="11"/>
      <c r="S7152" s="11"/>
    </row>
    <row r="7153" spans="1:19" s="9" customFormat="1" x14ac:dyDescent="0.25">
      <c r="A7153" s="10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  <c r="Q7153" s="11"/>
      <c r="R7153" s="11"/>
      <c r="S7153" s="11"/>
    </row>
    <row r="7154" spans="1:19" s="9" customFormat="1" x14ac:dyDescent="0.25">
      <c r="A7154" s="10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  <c r="Q7154" s="11"/>
      <c r="R7154" s="11"/>
      <c r="S7154" s="11"/>
    </row>
    <row r="7155" spans="1:19" s="9" customFormat="1" x14ac:dyDescent="0.25">
      <c r="A7155" s="10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  <c r="Q7155" s="11"/>
      <c r="R7155" s="11"/>
      <c r="S7155" s="11"/>
    </row>
    <row r="7156" spans="1:19" s="9" customFormat="1" x14ac:dyDescent="0.25">
      <c r="A7156" s="10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  <c r="Q7156" s="11"/>
      <c r="R7156" s="11"/>
      <c r="S7156" s="11"/>
    </row>
    <row r="7157" spans="1:19" s="9" customFormat="1" x14ac:dyDescent="0.25">
      <c r="A7157" s="10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  <c r="Q7157" s="11"/>
      <c r="R7157" s="11"/>
      <c r="S7157" s="11"/>
    </row>
    <row r="7158" spans="1:19" s="9" customFormat="1" x14ac:dyDescent="0.25">
      <c r="A7158" s="10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  <c r="Q7158" s="11"/>
      <c r="R7158" s="11"/>
      <c r="S7158" s="11"/>
    </row>
    <row r="7159" spans="1:19" s="9" customFormat="1" x14ac:dyDescent="0.25">
      <c r="A7159" s="10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  <c r="Q7159" s="11"/>
      <c r="R7159" s="11"/>
      <c r="S7159" s="11"/>
    </row>
    <row r="7160" spans="1:19" s="9" customFormat="1" x14ac:dyDescent="0.25">
      <c r="A7160" s="10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  <c r="Q7160" s="11"/>
      <c r="R7160" s="11"/>
      <c r="S7160" s="11"/>
    </row>
    <row r="7161" spans="1:19" s="9" customFormat="1" x14ac:dyDescent="0.25">
      <c r="A7161" s="10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  <c r="Q7161" s="11"/>
      <c r="R7161" s="11"/>
      <c r="S7161" s="11"/>
    </row>
    <row r="7162" spans="1:19" s="9" customFormat="1" x14ac:dyDescent="0.25">
      <c r="A7162" s="10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  <c r="Q7162" s="11"/>
      <c r="R7162" s="11"/>
      <c r="S7162" s="11"/>
    </row>
    <row r="7163" spans="1:19" s="9" customFormat="1" x14ac:dyDescent="0.25">
      <c r="A7163" s="10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  <c r="Q7163" s="11"/>
      <c r="R7163" s="11"/>
      <c r="S7163" s="11"/>
    </row>
    <row r="7164" spans="1:19" s="9" customFormat="1" x14ac:dyDescent="0.25">
      <c r="A7164" s="10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  <c r="Q7164" s="11"/>
      <c r="R7164" s="11"/>
      <c r="S7164" s="11"/>
    </row>
    <row r="7165" spans="1:19" s="9" customFormat="1" x14ac:dyDescent="0.25">
      <c r="A7165" s="10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  <c r="Q7165" s="11"/>
      <c r="R7165" s="11"/>
      <c r="S7165" s="11"/>
    </row>
    <row r="7166" spans="1:19" s="9" customFormat="1" x14ac:dyDescent="0.25">
      <c r="A7166" s="10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  <c r="Q7166" s="11"/>
      <c r="R7166" s="11"/>
      <c r="S7166" s="11"/>
    </row>
    <row r="7167" spans="1:19" s="9" customFormat="1" x14ac:dyDescent="0.25">
      <c r="A7167" s="10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  <c r="Q7167" s="11"/>
      <c r="R7167" s="11"/>
      <c r="S7167" s="11"/>
    </row>
    <row r="7168" spans="1:19" s="9" customFormat="1" x14ac:dyDescent="0.25">
      <c r="A7168" s="10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  <c r="Q7168" s="11"/>
      <c r="R7168" s="11"/>
      <c r="S7168" s="11"/>
    </row>
    <row r="7169" spans="1:19" s="9" customFormat="1" x14ac:dyDescent="0.25">
      <c r="A7169" s="10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  <c r="Q7169" s="11"/>
      <c r="R7169" s="11"/>
      <c r="S7169" s="11"/>
    </row>
    <row r="7170" spans="1:19" s="9" customFormat="1" x14ac:dyDescent="0.25">
      <c r="A7170" s="10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  <c r="Q7170" s="11"/>
      <c r="R7170" s="11"/>
      <c r="S7170" s="11"/>
    </row>
    <row r="7171" spans="1:19" s="9" customFormat="1" x14ac:dyDescent="0.25">
      <c r="A7171" s="10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  <c r="Q7171" s="11"/>
      <c r="R7171" s="11"/>
      <c r="S7171" s="11"/>
    </row>
    <row r="7172" spans="1:19" s="9" customFormat="1" x14ac:dyDescent="0.25">
      <c r="A7172" s="10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  <c r="Q7172" s="11"/>
      <c r="R7172" s="11"/>
      <c r="S7172" s="11"/>
    </row>
    <row r="7173" spans="1:19" s="9" customFormat="1" x14ac:dyDescent="0.25">
      <c r="A7173" s="10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  <c r="Q7173" s="11"/>
      <c r="R7173" s="11"/>
      <c r="S7173" s="11"/>
    </row>
    <row r="7174" spans="1:19" s="9" customFormat="1" x14ac:dyDescent="0.25">
      <c r="A7174" s="10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  <c r="Q7174" s="11"/>
      <c r="R7174" s="11"/>
      <c r="S7174" s="11"/>
    </row>
    <row r="7175" spans="1:19" s="9" customFormat="1" x14ac:dyDescent="0.25">
      <c r="A7175" s="10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  <c r="Q7175" s="11"/>
      <c r="R7175" s="11"/>
      <c r="S7175" s="11"/>
    </row>
    <row r="7176" spans="1:19" s="9" customFormat="1" x14ac:dyDescent="0.25">
      <c r="A7176" s="10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  <c r="Q7176" s="11"/>
      <c r="R7176" s="11"/>
      <c r="S7176" s="11"/>
    </row>
    <row r="7177" spans="1:19" s="9" customFormat="1" x14ac:dyDescent="0.25">
      <c r="A7177" s="10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  <c r="Q7177" s="11"/>
      <c r="R7177" s="11"/>
      <c r="S7177" s="11"/>
    </row>
    <row r="7178" spans="1:19" s="9" customFormat="1" x14ac:dyDescent="0.25">
      <c r="A7178" s="10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  <c r="Q7178" s="11"/>
      <c r="R7178" s="11"/>
      <c r="S7178" s="11"/>
    </row>
    <row r="7179" spans="1:19" s="9" customFormat="1" x14ac:dyDescent="0.25">
      <c r="A7179" s="10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  <c r="Q7179" s="11"/>
      <c r="R7179" s="11"/>
      <c r="S7179" s="11"/>
    </row>
    <row r="7180" spans="1:19" s="9" customFormat="1" x14ac:dyDescent="0.25">
      <c r="A7180" s="10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  <c r="Q7180" s="11"/>
      <c r="R7180" s="11"/>
      <c r="S7180" s="11"/>
    </row>
    <row r="7181" spans="1:19" s="9" customFormat="1" x14ac:dyDescent="0.25">
      <c r="A7181" s="10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  <c r="Q7181" s="11"/>
      <c r="R7181" s="11"/>
      <c r="S7181" s="11"/>
    </row>
    <row r="7182" spans="1:19" s="9" customFormat="1" x14ac:dyDescent="0.25">
      <c r="A7182" s="10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  <c r="Q7182" s="11"/>
      <c r="R7182" s="11"/>
      <c r="S7182" s="11"/>
    </row>
    <row r="7183" spans="1:19" s="9" customFormat="1" x14ac:dyDescent="0.25">
      <c r="A7183" s="10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  <c r="Q7183" s="11"/>
      <c r="R7183" s="11"/>
      <c r="S7183" s="11"/>
    </row>
    <row r="7184" spans="1:19" s="9" customFormat="1" x14ac:dyDescent="0.25">
      <c r="A7184" s="10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  <c r="Q7184" s="11"/>
      <c r="R7184" s="11"/>
      <c r="S7184" s="11"/>
    </row>
    <row r="7185" spans="1:19" s="9" customFormat="1" x14ac:dyDescent="0.25">
      <c r="A7185" s="10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  <c r="Q7185" s="11"/>
      <c r="R7185" s="11"/>
      <c r="S7185" s="11"/>
    </row>
    <row r="7186" spans="1:19" s="9" customFormat="1" x14ac:dyDescent="0.25">
      <c r="A7186" s="10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  <c r="Q7186" s="11"/>
      <c r="R7186" s="11"/>
      <c r="S7186" s="11"/>
    </row>
    <row r="7187" spans="1:19" s="9" customFormat="1" x14ac:dyDescent="0.25">
      <c r="A7187" s="10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  <c r="Q7187" s="11"/>
      <c r="R7187" s="11"/>
      <c r="S7187" s="11"/>
    </row>
    <row r="7188" spans="1:19" s="9" customFormat="1" x14ac:dyDescent="0.25">
      <c r="A7188" s="10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  <c r="Q7188" s="11"/>
      <c r="R7188" s="11"/>
      <c r="S7188" s="11"/>
    </row>
    <row r="7189" spans="1:19" s="9" customFormat="1" x14ac:dyDescent="0.25">
      <c r="A7189" s="10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  <c r="Q7189" s="11"/>
      <c r="R7189" s="11"/>
      <c r="S7189" s="11"/>
    </row>
    <row r="7190" spans="1:19" s="9" customFormat="1" x14ac:dyDescent="0.25">
      <c r="A7190" s="10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  <c r="Q7190" s="11"/>
      <c r="R7190" s="11"/>
      <c r="S7190" s="11"/>
    </row>
    <row r="7191" spans="1:19" s="9" customFormat="1" x14ac:dyDescent="0.25">
      <c r="A7191" s="10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  <c r="Q7191" s="11"/>
      <c r="R7191" s="11"/>
      <c r="S7191" s="11"/>
    </row>
    <row r="7192" spans="1:19" s="9" customFormat="1" x14ac:dyDescent="0.25">
      <c r="A7192" s="10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  <c r="Q7192" s="11"/>
      <c r="R7192" s="11"/>
      <c r="S7192" s="11"/>
    </row>
    <row r="7193" spans="1:19" s="9" customFormat="1" x14ac:dyDescent="0.25">
      <c r="A7193" s="10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  <c r="Q7193" s="11"/>
      <c r="R7193" s="11"/>
      <c r="S7193" s="11"/>
    </row>
    <row r="7194" spans="1:19" s="9" customFormat="1" x14ac:dyDescent="0.25">
      <c r="A7194" s="10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  <c r="Q7194" s="11"/>
      <c r="R7194" s="11"/>
      <c r="S7194" s="11"/>
    </row>
    <row r="7195" spans="1:19" s="9" customFormat="1" x14ac:dyDescent="0.25">
      <c r="A7195" s="10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  <c r="Q7195" s="11"/>
      <c r="R7195" s="11"/>
      <c r="S7195" s="11"/>
    </row>
    <row r="7196" spans="1:19" s="9" customFormat="1" x14ac:dyDescent="0.25">
      <c r="A7196" s="10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  <c r="Q7196" s="11"/>
      <c r="R7196" s="11"/>
      <c r="S7196" s="11"/>
    </row>
    <row r="7197" spans="1:19" s="9" customFormat="1" x14ac:dyDescent="0.25">
      <c r="A7197" s="10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  <c r="Q7197" s="11"/>
      <c r="R7197" s="11"/>
      <c r="S7197" s="11"/>
    </row>
    <row r="7198" spans="1:19" s="9" customFormat="1" x14ac:dyDescent="0.25">
      <c r="A7198" s="10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  <c r="Q7198" s="11"/>
      <c r="R7198" s="11"/>
      <c r="S7198" s="11"/>
    </row>
    <row r="7199" spans="1:19" s="9" customFormat="1" x14ac:dyDescent="0.25">
      <c r="A7199" s="10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  <c r="Q7199" s="11"/>
      <c r="R7199" s="11"/>
      <c r="S7199" s="11"/>
    </row>
    <row r="7200" spans="1:19" s="9" customFormat="1" x14ac:dyDescent="0.25">
      <c r="A7200" s="10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  <c r="Q7200" s="11"/>
      <c r="R7200" s="11"/>
      <c r="S7200" s="11"/>
    </row>
    <row r="7201" spans="1:19" s="9" customFormat="1" x14ac:dyDescent="0.25">
      <c r="A7201" s="10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  <c r="Q7201" s="11"/>
      <c r="R7201" s="11"/>
      <c r="S7201" s="11"/>
    </row>
    <row r="7202" spans="1:19" s="9" customFormat="1" x14ac:dyDescent="0.25">
      <c r="A7202" s="10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  <c r="Q7202" s="11"/>
      <c r="R7202" s="11"/>
      <c r="S7202" s="11"/>
    </row>
    <row r="7203" spans="1:19" s="9" customFormat="1" x14ac:dyDescent="0.25">
      <c r="A7203" s="10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  <c r="Q7203" s="11"/>
      <c r="R7203" s="11"/>
      <c r="S7203" s="11"/>
    </row>
    <row r="7204" spans="1:19" s="9" customFormat="1" x14ac:dyDescent="0.25">
      <c r="A7204" s="10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  <c r="Q7204" s="11"/>
      <c r="R7204" s="11"/>
      <c r="S7204" s="11"/>
    </row>
    <row r="7205" spans="1:19" s="9" customFormat="1" x14ac:dyDescent="0.25">
      <c r="A7205" s="10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  <c r="Q7205" s="11"/>
      <c r="R7205" s="11"/>
      <c r="S7205" s="11"/>
    </row>
    <row r="7206" spans="1:19" s="9" customFormat="1" x14ac:dyDescent="0.25">
      <c r="A7206" s="10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  <c r="Q7206" s="11"/>
      <c r="R7206" s="11"/>
      <c r="S7206" s="11"/>
    </row>
    <row r="7207" spans="1:19" s="9" customFormat="1" x14ac:dyDescent="0.25">
      <c r="A7207" s="10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  <c r="Q7207" s="11"/>
      <c r="R7207" s="11"/>
      <c r="S7207" s="11"/>
    </row>
    <row r="7208" spans="1:19" s="9" customFormat="1" x14ac:dyDescent="0.25">
      <c r="A7208" s="10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  <c r="Q7208" s="11"/>
      <c r="R7208" s="11"/>
      <c r="S7208" s="11"/>
    </row>
    <row r="7209" spans="1:19" s="9" customFormat="1" x14ac:dyDescent="0.25">
      <c r="A7209" s="10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  <c r="Q7209" s="11"/>
      <c r="R7209" s="11"/>
      <c r="S7209" s="11"/>
    </row>
    <row r="7210" spans="1:19" s="9" customFormat="1" x14ac:dyDescent="0.25">
      <c r="A7210" s="10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  <c r="Q7210" s="11"/>
      <c r="R7210" s="11"/>
      <c r="S7210" s="11"/>
    </row>
    <row r="7211" spans="1:19" s="9" customFormat="1" x14ac:dyDescent="0.25">
      <c r="A7211" s="10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  <c r="Q7211" s="11"/>
      <c r="R7211" s="11"/>
      <c r="S7211" s="11"/>
    </row>
    <row r="7212" spans="1:19" s="9" customFormat="1" x14ac:dyDescent="0.25">
      <c r="A7212" s="10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  <c r="Q7212" s="11"/>
      <c r="R7212" s="11"/>
      <c r="S7212" s="11"/>
    </row>
    <row r="7213" spans="1:19" s="9" customFormat="1" x14ac:dyDescent="0.25">
      <c r="A7213" s="10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  <c r="Q7213" s="11"/>
      <c r="R7213" s="11"/>
      <c r="S7213" s="11"/>
    </row>
    <row r="7214" spans="1:19" s="9" customFormat="1" x14ac:dyDescent="0.25">
      <c r="A7214" s="10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  <c r="Q7214" s="11"/>
      <c r="R7214" s="11"/>
      <c r="S7214" s="11"/>
    </row>
    <row r="7215" spans="1:19" s="9" customFormat="1" x14ac:dyDescent="0.25">
      <c r="A7215" s="10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  <c r="Q7215" s="11"/>
      <c r="R7215" s="11"/>
      <c r="S7215" s="11"/>
    </row>
    <row r="7216" spans="1:19" s="9" customFormat="1" x14ac:dyDescent="0.25">
      <c r="A7216" s="10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  <c r="Q7216" s="11"/>
      <c r="R7216" s="11"/>
      <c r="S7216" s="11"/>
    </row>
    <row r="7217" spans="1:19" s="9" customFormat="1" x14ac:dyDescent="0.25">
      <c r="A7217" s="10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  <c r="Q7217" s="11"/>
      <c r="R7217" s="11"/>
      <c r="S7217" s="11"/>
    </row>
    <row r="7218" spans="1:19" s="9" customFormat="1" x14ac:dyDescent="0.25">
      <c r="A7218" s="10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  <c r="Q7218" s="11"/>
      <c r="R7218" s="11"/>
      <c r="S7218" s="11"/>
    </row>
    <row r="7219" spans="1:19" s="9" customFormat="1" x14ac:dyDescent="0.25">
      <c r="A7219" s="10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  <c r="Q7219" s="11"/>
      <c r="R7219" s="11"/>
      <c r="S7219" s="11"/>
    </row>
    <row r="7220" spans="1:19" s="9" customFormat="1" x14ac:dyDescent="0.25">
      <c r="A7220" s="10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  <c r="Q7220" s="11"/>
      <c r="R7220" s="11"/>
      <c r="S7220" s="11"/>
    </row>
    <row r="7221" spans="1:19" s="9" customFormat="1" x14ac:dyDescent="0.25">
      <c r="A7221" s="10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  <c r="Q7221" s="11"/>
      <c r="R7221" s="11"/>
      <c r="S7221" s="11"/>
    </row>
    <row r="7222" spans="1:19" s="9" customFormat="1" x14ac:dyDescent="0.25">
      <c r="A7222" s="10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  <c r="Q7222" s="11"/>
      <c r="R7222" s="11"/>
      <c r="S7222" s="11"/>
    </row>
    <row r="7223" spans="1:19" s="9" customFormat="1" x14ac:dyDescent="0.25">
      <c r="A7223" s="10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  <c r="Q7223" s="11"/>
      <c r="R7223" s="11"/>
      <c r="S7223" s="11"/>
    </row>
    <row r="7224" spans="1:19" s="9" customFormat="1" x14ac:dyDescent="0.25">
      <c r="A7224" s="10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  <c r="Q7224" s="11"/>
      <c r="R7224" s="11"/>
      <c r="S7224" s="11"/>
    </row>
    <row r="7225" spans="1:19" s="9" customFormat="1" x14ac:dyDescent="0.25">
      <c r="A7225" s="10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  <c r="Q7225" s="11"/>
      <c r="R7225" s="11"/>
      <c r="S7225" s="11"/>
    </row>
    <row r="7226" spans="1:19" s="9" customFormat="1" x14ac:dyDescent="0.25">
      <c r="A7226" s="10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  <c r="Q7226" s="11"/>
      <c r="R7226" s="11"/>
      <c r="S7226" s="11"/>
    </row>
    <row r="7227" spans="1:19" s="9" customFormat="1" x14ac:dyDescent="0.25">
      <c r="A7227" s="10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  <c r="Q7227" s="11"/>
      <c r="R7227" s="11"/>
      <c r="S7227" s="11"/>
    </row>
    <row r="7228" spans="1:19" s="9" customFormat="1" x14ac:dyDescent="0.25">
      <c r="A7228" s="10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  <c r="Q7228" s="11"/>
      <c r="R7228" s="11"/>
      <c r="S7228" s="11"/>
    </row>
    <row r="7229" spans="1:19" s="9" customFormat="1" x14ac:dyDescent="0.25">
      <c r="A7229" s="10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  <c r="Q7229" s="11"/>
      <c r="R7229" s="11"/>
      <c r="S7229" s="11"/>
    </row>
    <row r="7230" spans="1:19" s="9" customFormat="1" x14ac:dyDescent="0.25">
      <c r="A7230" s="10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  <c r="Q7230" s="11"/>
      <c r="R7230" s="11"/>
      <c r="S7230" s="11"/>
    </row>
    <row r="7231" spans="1:19" s="9" customFormat="1" x14ac:dyDescent="0.25">
      <c r="A7231" s="10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  <c r="Q7231" s="11"/>
      <c r="R7231" s="11"/>
      <c r="S7231" s="11"/>
    </row>
    <row r="7232" spans="1:19" s="9" customFormat="1" x14ac:dyDescent="0.25">
      <c r="A7232" s="10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  <c r="Q7232" s="11"/>
      <c r="R7232" s="11"/>
      <c r="S7232" s="11"/>
    </row>
    <row r="7233" spans="1:19" s="9" customFormat="1" x14ac:dyDescent="0.25">
      <c r="A7233" s="10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  <c r="Q7233" s="11"/>
      <c r="R7233" s="11"/>
      <c r="S7233" s="11"/>
    </row>
    <row r="7234" spans="1:19" s="9" customFormat="1" x14ac:dyDescent="0.25">
      <c r="A7234" s="10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  <c r="Q7234" s="11"/>
      <c r="R7234" s="11"/>
      <c r="S7234" s="11"/>
    </row>
    <row r="7235" spans="1:19" s="9" customFormat="1" x14ac:dyDescent="0.25">
      <c r="A7235" s="10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  <c r="Q7235" s="11"/>
      <c r="R7235" s="11"/>
      <c r="S7235" s="11"/>
    </row>
    <row r="7236" spans="1:19" s="9" customFormat="1" x14ac:dyDescent="0.25">
      <c r="A7236" s="10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  <c r="Q7236" s="11"/>
      <c r="R7236" s="11"/>
      <c r="S7236" s="11"/>
    </row>
    <row r="7237" spans="1:19" s="9" customFormat="1" x14ac:dyDescent="0.25">
      <c r="A7237" s="10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  <c r="Q7237" s="11"/>
      <c r="R7237" s="11"/>
      <c r="S7237" s="11"/>
    </row>
    <row r="7238" spans="1:19" s="9" customFormat="1" x14ac:dyDescent="0.25">
      <c r="A7238" s="10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  <c r="Q7238" s="11"/>
      <c r="R7238" s="11"/>
      <c r="S7238" s="11"/>
    </row>
    <row r="7239" spans="1:19" s="9" customFormat="1" x14ac:dyDescent="0.25">
      <c r="A7239" s="10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  <c r="Q7239" s="11"/>
      <c r="R7239" s="11"/>
      <c r="S7239" s="11"/>
    </row>
    <row r="7240" spans="1:19" s="9" customFormat="1" x14ac:dyDescent="0.25">
      <c r="A7240" s="10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  <c r="Q7240" s="11"/>
      <c r="R7240" s="11"/>
      <c r="S7240" s="11"/>
    </row>
    <row r="7241" spans="1:19" s="9" customFormat="1" x14ac:dyDescent="0.25">
      <c r="A7241" s="10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  <c r="Q7241" s="11"/>
      <c r="R7241" s="11"/>
      <c r="S7241" s="11"/>
    </row>
    <row r="7242" spans="1:19" s="9" customFormat="1" x14ac:dyDescent="0.25">
      <c r="A7242" s="10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  <c r="Q7242" s="11"/>
      <c r="R7242" s="11"/>
      <c r="S7242" s="11"/>
    </row>
    <row r="7243" spans="1:19" s="9" customFormat="1" x14ac:dyDescent="0.25">
      <c r="A7243" s="10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  <c r="Q7243" s="11"/>
      <c r="R7243" s="11"/>
      <c r="S7243" s="11"/>
    </row>
    <row r="7244" spans="1:19" s="9" customFormat="1" x14ac:dyDescent="0.25">
      <c r="A7244" s="10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  <c r="Q7244" s="11"/>
      <c r="R7244" s="11"/>
      <c r="S7244" s="11"/>
    </row>
    <row r="7245" spans="1:19" s="9" customFormat="1" x14ac:dyDescent="0.25">
      <c r="A7245" s="10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  <c r="Q7245" s="11"/>
      <c r="R7245" s="11"/>
      <c r="S7245" s="11"/>
    </row>
    <row r="7246" spans="1:19" s="9" customFormat="1" x14ac:dyDescent="0.25">
      <c r="A7246" s="10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  <c r="Q7246" s="11"/>
      <c r="R7246" s="11"/>
      <c r="S7246" s="11"/>
    </row>
    <row r="7247" spans="1:19" s="9" customFormat="1" x14ac:dyDescent="0.25">
      <c r="A7247" s="10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  <c r="Q7247" s="11"/>
      <c r="R7247" s="11"/>
      <c r="S7247" s="11"/>
    </row>
    <row r="7248" spans="1:19" s="9" customFormat="1" x14ac:dyDescent="0.25">
      <c r="A7248" s="10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  <c r="Q7248" s="11"/>
      <c r="R7248" s="11"/>
      <c r="S7248" s="11"/>
    </row>
    <row r="7249" spans="1:19" s="9" customFormat="1" x14ac:dyDescent="0.25">
      <c r="A7249" s="10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  <c r="Q7249" s="11"/>
      <c r="R7249" s="11"/>
      <c r="S7249" s="11"/>
    </row>
    <row r="7250" spans="1:19" s="9" customFormat="1" x14ac:dyDescent="0.25">
      <c r="A7250" s="10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  <c r="Q7250" s="11"/>
      <c r="R7250" s="11"/>
      <c r="S7250" s="11"/>
    </row>
    <row r="7251" spans="1:19" s="9" customFormat="1" x14ac:dyDescent="0.25">
      <c r="A7251" s="10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  <c r="Q7251" s="11"/>
      <c r="R7251" s="11"/>
      <c r="S7251" s="11"/>
    </row>
    <row r="7252" spans="1:19" s="9" customFormat="1" x14ac:dyDescent="0.25">
      <c r="A7252" s="10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  <c r="Q7252" s="11"/>
      <c r="R7252" s="11"/>
      <c r="S7252" s="11"/>
    </row>
    <row r="7253" spans="1:19" s="9" customFormat="1" x14ac:dyDescent="0.25">
      <c r="A7253" s="10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  <c r="Q7253" s="11"/>
      <c r="R7253" s="11"/>
      <c r="S7253" s="11"/>
    </row>
    <row r="7254" spans="1:19" s="9" customFormat="1" x14ac:dyDescent="0.25">
      <c r="A7254" s="10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  <c r="Q7254" s="11"/>
      <c r="R7254" s="11"/>
      <c r="S7254" s="11"/>
    </row>
    <row r="7255" spans="1:19" s="9" customFormat="1" x14ac:dyDescent="0.25">
      <c r="A7255" s="10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  <c r="Q7255" s="11"/>
      <c r="R7255" s="11"/>
      <c r="S7255" s="11"/>
    </row>
    <row r="7256" spans="1:19" s="9" customFormat="1" x14ac:dyDescent="0.25">
      <c r="A7256" s="10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  <c r="Q7256" s="11"/>
      <c r="R7256" s="11"/>
      <c r="S7256" s="11"/>
    </row>
    <row r="7257" spans="1:19" s="9" customFormat="1" x14ac:dyDescent="0.25">
      <c r="A7257" s="10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  <c r="Q7257" s="11"/>
      <c r="R7257" s="11"/>
      <c r="S7257" s="11"/>
    </row>
    <row r="7258" spans="1:19" s="9" customFormat="1" x14ac:dyDescent="0.25">
      <c r="A7258" s="10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  <c r="Q7258" s="11"/>
      <c r="R7258" s="11"/>
      <c r="S7258" s="11"/>
    </row>
    <row r="7259" spans="1:19" s="9" customFormat="1" x14ac:dyDescent="0.25">
      <c r="A7259" s="10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  <c r="Q7259" s="11"/>
      <c r="R7259" s="11"/>
      <c r="S7259" s="11"/>
    </row>
    <row r="7260" spans="1:19" s="9" customFormat="1" x14ac:dyDescent="0.25">
      <c r="A7260" s="10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  <c r="Q7260" s="11"/>
      <c r="R7260" s="11"/>
      <c r="S7260" s="11"/>
    </row>
    <row r="7261" spans="1:19" s="9" customFormat="1" x14ac:dyDescent="0.25">
      <c r="A7261" s="10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  <c r="Q7261" s="11"/>
      <c r="R7261" s="11"/>
      <c r="S7261" s="11"/>
    </row>
    <row r="7262" spans="1:19" s="9" customFormat="1" x14ac:dyDescent="0.25">
      <c r="A7262" s="10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  <c r="Q7262" s="11"/>
      <c r="R7262" s="11"/>
      <c r="S7262" s="11"/>
    </row>
    <row r="7263" spans="1:19" s="9" customFormat="1" x14ac:dyDescent="0.25">
      <c r="A7263" s="10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  <c r="Q7263" s="11"/>
      <c r="R7263" s="11"/>
      <c r="S7263" s="11"/>
    </row>
    <row r="7264" spans="1:19" s="9" customFormat="1" x14ac:dyDescent="0.25">
      <c r="A7264" s="10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  <c r="Q7264" s="11"/>
      <c r="R7264" s="11"/>
      <c r="S7264" s="11"/>
    </row>
    <row r="7265" spans="1:19" s="9" customFormat="1" x14ac:dyDescent="0.25">
      <c r="A7265" s="10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  <c r="Q7265" s="11"/>
      <c r="R7265" s="11"/>
      <c r="S7265" s="11"/>
    </row>
    <row r="7266" spans="1:19" s="9" customFormat="1" x14ac:dyDescent="0.25">
      <c r="A7266" s="10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  <c r="Q7266" s="11"/>
      <c r="R7266" s="11"/>
      <c r="S7266" s="11"/>
    </row>
    <row r="7267" spans="1:19" s="9" customFormat="1" x14ac:dyDescent="0.25">
      <c r="A7267" s="10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  <c r="Q7267" s="11"/>
      <c r="R7267" s="11"/>
      <c r="S7267" s="11"/>
    </row>
    <row r="7268" spans="1:19" s="9" customFormat="1" x14ac:dyDescent="0.25">
      <c r="A7268" s="10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  <c r="Q7268" s="11"/>
      <c r="R7268" s="11"/>
      <c r="S7268" s="11"/>
    </row>
    <row r="7269" spans="1:19" s="9" customFormat="1" x14ac:dyDescent="0.25">
      <c r="A7269" s="10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  <c r="Q7269" s="11"/>
      <c r="R7269" s="11"/>
      <c r="S7269" s="11"/>
    </row>
    <row r="7270" spans="1:19" s="9" customFormat="1" x14ac:dyDescent="0.25">
      <c r="A7270" s="10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  <c r="Q7270" s="11"/>
      <c r="R7270" s="11"/>
      <c r="S7270" s="11"/>
    </row>
    <row r="7271" spans="1:19" s="9" customFormat="1" x14ac:dyDescent="0.25">
      <c r="A7271" s="10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  <c r="Q7271" s="11"/>
      <c r="R7271" s="11"/>
      <c r="S7271" s="11"/>
    </row>
    <row r="7272" spans="1:19" s="9" customFormat="1" x14ac:dyDescent="0.25">
      <c r="A7272" s="10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  <c r="Q7272" s="11"/>
      <c r="R7272" s="11"/>
      <c r="S7272" s="11"/>
    </row>
    <row r="7273" spans="1:19" s="9" customFormat="1" x14ac:dyDescent="0.25">
      <c r="A7273" s="10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  <c r="Q7273" s="11"/>
      <c r="R7273" s="11"/>
      <c r="S7273" s="11"/>
    </row>
    <row r="7274" spans="1:19" s="9" customFormat="1" x14ac:dyDescent="0.25">
      <c r="A7274" s="10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  <c r="Q7274" s="11"/>
      <c r="R7274" s="11"/>
      <c r="S7274" s="11"/>
    </row>
    <row r="7275" spans="1:19" s="9" customFormat="1" x14ac:dyDescent="0.25">
      <c r="A7275" s="10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  <c r="Q7275" s="11"/>
      <c r="R7275" s="11"/>
      <c r="S7275" s="11"/>
    </row>
    <row r="7276" spans="1:19" s="9" customFormat="1" x14ac:dyDescent="0.25">
      <c r="A7276" s="10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  <c r="Q7276" s="11"/>
      <c r="R7276" s="11"/>
      <c r="S7276" s="11"/>
    </row>
    <row r="7277" spans="1:19" s="9" customFormat="1" x14ac:dyDescent="0.25">
      <c r="A7277" s="10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  <c r="Q7277" s="11"/>
      <c r="R7277" s="11"/>
      <c r="S7277" s="11"/>
    </row>
    <row r="7278" spans="1:19" s="9" customFormat="1" x14ac:dyDescent="0.25">
      <c r="A7278" s="10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  <c r="Q7278" s="11"/>
      <c r="R7278" s="11"/>
      <c r="S7278" s="11"/>
    </row>
    <row r="7279" spans="1:19" s="9" customFormat="1" x14ac:dyDescent="0.25">
      <c r="A7279" s="10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  <c r="Q7279" s="11"/>
      <c r="R7279" s="11"/>
      <c r="S7279" s="11"/>
    </row>
    <row r="7280" spans="1:19" s="9" customFormat="1" x14ac:dyDescent="0.25">
      <c r="A7280" s="10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  <c r="Q7280" s="11"/>
      <c r="R7280" s="11"/>
      <c r="S7280" s="11"/>
    </row>
    <row r="7281" spans="1:19" s="9" customFormat="1" x14ac:dyDescent="0.25">
      <c r="A7281" s="10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  <c r="Q7281" s="11"/>
      <c r="R7281" s="11"/>
      <c r="S7281" s="11"/>
    </row>
    <row r="7282" spans="1:19" s="9" customFormat="1" x14ac:dyDescent="0.25">
      <c r="A7282" s="10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  <c r="Q7282" s="11"/>
      <c r="R7282" s="11"/>
      <c r="S7282" s="11"/>
    </row>
    <row r="7283" spans="1:19" s="9" customFormat="1" x14ac:dyDescent="0.25">
      <c r="A7283" s="10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  <c r="Q7283" s="11"/>
      <c r="R7283" s="11"/>
      <c r="S7283" s="11"/>
    </row>
    <row r="7284" spans="1:19" s="9" customFormat="1" x14ac:dyDescent="0.25">
      <c r="A7284" s="10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  <c r="Q7284" s="11"/>
      <c r="R7284" s="11"/>
      <c r="S7284" s="11"/>
    </row>
    <row r="7285" spans="1:19" s="9" customFormat="1" x14ac:dyDescent="0.25">
      <c r="A7285" s="10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  <c r="Q7285" s="11"/>
      <c r="R7285" s="11"/>
      <c r="S7285" s="11"/>
    </row>
    <row r="7286" spans="1:19" s="9" customFormat="1" x14ac:dyDescent="0.25">
      <c r="A7286" s="10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  <c r="Q7286" s="11"/>
      <c r="R7286" s="11"/>
      <c r="S7286" s="11"/>
    </row>
    <row r="7287" spans="1:19" s="9" customFormat="1" x14ac:dyDescent="0.25">
      <c r="A7287" s="10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  <c r="Q7287" s="11"/>
      <c r="R7287" s="11"/>
      <c r="S7287" s="11"/>
    </row>
    <row r="7288" spans="1:19" s="9" customFormat="1" x14ac:dyDescent="0.25">
      <c r="A7288" s="10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  <c r="Q7288" s="11"/>
      <c r="R7288" s="11"/>
      <c r="S7288" s="11"/>
    </row>
    <row r="7289" spans="1:19" s="9" customFormat="1" x14ac:dyDescent="0.25">
      <c r="A7289" s="10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  <c r="Q7289" s="11"/>
      <c r="R7289" s="11"/>
      <c r="S7289" s="11"/>
    </row>
    <row r="7290" spans="1:19" s="9" customFormat="1" x14ac:dyDescent="0.25">
      <c r="A7290" s="10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  <c r="Q7290" s="11"/>
      <c r="R7290" s="11"/>
      <c r="S7290" s="11"/>
    </row>
    <row r="7291" spans="1:19" s="9" customFormat="1" x14ac:dyDescent="0.25">
      <c r="A7291" s="10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  <c r="Q7291" s="11"/>
      <c r="R7291" s="11"/>
      <c r="S7291" s="11"/>
    </row>
    <row r="7292" spans="1:19" s="9" customFormat="1" x14ac:dyDescent="0.25">
      <c r="A7292" s="10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  <c r="Q7292" s="11"/>
      <c r="R7292" s="11"/>
      <c r="S7292" s="11"/>
    </row>
    <row r="7293" spans="1:19" s="9" customFormat="1" x14ac:dyDescent="0.25">
      <c r="A7293" s="10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  <c r="Q7293" s="11"/>
      <c r="R7293" s="11"/>
      <c r="S7293" s="11"/>
    </row>
    <row r="7294" spans="1:19" s="9" customFormat="1" x14ac:dyDescent="0.25">
      <c r="A7294" s="10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  <c r="Q7294" s="11"/>
      <c r="R7294" s="11"/>
      <c r="S7294" s="11"/>
    </row>
    <row r="7295" spans="1:19" s="9" customFormat="1" x14ac:dyDescent="0.25">
      <c r="A7295" s="10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  <c r="Q7295" s="11"/>
      <c r="R7295" s="11"/>
      <c r="S7295" s="11"/>
    </row>
    <row r="7296" spans="1:19" s="9" customFormat="1" x14ac:dyDescent="0.25">
      <c r="A7296" s="10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  <c r="Q7296" s="11"/>
      <c r="R7296" s="11"/>
      <c r="S7296" s="11"/>
    </row>
    <row r="7297" spans="1:19" s="9" customFormat="1" x14ac:dyDescent="0.25">
      <c r="A7297" s="10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  <c r="Q7297" s="11"/>
      <c r="R7297" s="11"/>
      <c r="S7297" s="11"/>
    </row>
    <row r="7298" spans="1:19" s="9" customFormat="1" x14ac:dyDescent="0.25">
      <c r="A7298" s="10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  <c r="Q7298" s="11"/>
      <c r="R7298" s="11"/>
      <c r="S7298" s="11"/>
    </row>
    <row r="7299" spans="1:19" s="9" customFormat="1" x14ac:dyDescent="0.25">
      <c r="A7299" s="10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  <c r="Q7299" s="11"/>
      <c r="R7299" s="11"/>
      <c r="S7299" s="11"/>
    </row>
    <row r="7300" spans="1:19" s="9" customFormat="1" x14ac:dyDescent="0.25">
      <c r="A7300" s="10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  <c r="Q7300" s="11"/>
      <c r="R7300" s="11"/>
      <c r="S7300" s="11"/>
    </row>
    <row r="7301" spans="1:19" s="9" customFormat="1" x14ac:dyDescent="0.25">
      <c r="A7301" s="10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  <c r="Q7301" s="11"/>
      <c r="R7301" s="11"/>
      <c r="S7301" s="11"/>
    </row>
    <row r="7302" spans="1:19" s="9" customFormat="1" x14ac:dyDescent="0.25">
      <c r="A7302" s="10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  <c r="Q7302" s="11"/>
      <c r="R7302" s="11"/>
      <c r="S7302" s="11"/>
    </row>
    <row r="7303" spans="1:19" s="9" customFormat="1" x14ac:dyDescent="0.25">
      <c r="A7303" s="10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  <c r="Q7303" s="11"/>
      <c r="R7303" s="11"/>
      <c r="S7303" s="11"/>
    </row>
    <row r="7304" spans="1:19" s="9" customFormat="1" x14ac:dyDescent="0.25">
      <c r="A7304" s="10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  <c r="Q7304" s="11"/>
      <c r="R7304" s="11"/>
      <c r="S7304" s="11"/>
    </row>
    <row r="7305" spans="1:19" s="9" customFormat="1" x14ac:dyDescent="0.25">
      <c r="A7305" s="10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  <c r="Q7305" s="11"/>
      <c r="R7305" s="11"/>
      <c r="S7305" s="11"/>
    </row>
    <row r="7306" spans="1:19" s="9" customFormat="1" x14ac:dyDescent="0.25">
      <c r="A7306" s="10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  <c r="Q7306" s="11"/>
      <c r="R7306" s="11"/>
      <c r="S7306" s="11"/>
    </row>
    <row r="7307" spans="1:19" s="9" customFormat="1" x14ac:dyDescent="0.25">
      <c r="A7307" s="10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  <c r="Q7307" s="11"/>
      <c r="R7307" s="11"/>
      <c r="S7307" s="11"/>
    </row>
    <row r="7308" spans="1:19" s="9" customFormat="1" x14ac:dyDescent="0.25">
      <c r="A7308" s="10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  <c r="Q7308" s="11"/>
      <c r="R7308" s="11"/>
      <c r="S7308" s="11"/>
    </row>
    <row r="7309" spans="1:19" s="9" customFormat="1" x14ac:dyDescent="0.25">
      <c r="A7309" s="10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  <c r="Q7309" s="11"/>
      <c r="R7309" s="11"/>
      <c r="S7309" s="11"/>
    </row>
    <row r="7310" spans="1:19" s="9" customFormat="1" x14ac:dyDescent="0.25">
      <c r="A7310" s="10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  <c r="Q7310" s="11"/>
      <c r="R7310" s="11"/>
      <c r="S7310" s="11"/>
    </row>
    <row r="7311" spans="1:19" s="9" customFormat="1" x14ac:dyDescent="0.25">
      <c r="A7311" s="10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  <c r="Q7311" s="11"/>
      <c r="R7311" s="11"/>
      <c r="S7311" s="11"/>
    </row>
    <row r="7312" spans="1:19" s="9" customFormat="1" x14ac:dyDescent="0.25">
      <c r="A7312" s="10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  <c r="Q7312" s="11"/>
      <c r="R7312" s="11"/>
      <c r="S7312" s="11"/>
    </row>
    <row r="7313" spans="1:19" s="9" customFormat="1" x14ac:dyDescent="0.25">
      <c r="A7313" s="10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  <c r="Q7313" s="11"/>
      <c r="R7313" s="11"/>
      <c r="S7313" s="11"/>
    </row>
    <row r="7314" spans="1:19" s="9" customFormat="1" x14ac:dyDescent="0.25">
      <c r="A7314" s="10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  <c r="Q7314" s="11"/>
      <c r="R7314" s="11"/>
      <c r="S7314" s="11"/>
    </row>
    <row r="7315" spans="1:19" s="9" customFormat="1" x14ac:dyDescent="0.25">
      <c r="A7315" s="10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  <c r="Q7315" s="11"/>
      <c r="R7315" s="11"/>
      <c r="S7315" s="11"/>
    </row>
    <row r="7316" spans="1:19" s="9" customFormat="1" x14ac:dyDescent="0.25">
      <c r="A7316" s="10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  <c r="Q7316" s="11"/>
      <c r="R7316" s="11"/>
      <c r="S7316" s="11"/>
    </row>
    <row r="7317" spans="1:19" s="9" customFormat="1" x14ac:dyDescent="0.25">
      <c r="A7317" s="10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  <c r="Q7317" s="11"/>
      <c r="R7317" s="11"/>
      <c r="S7317" s="11"/>
    </row>
    <row r="7318" spans="1:19" s="9" customFormat="1" x14ac:dyDescent="0.25">
      <c r="A7318" s="10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  <c r="Q7318" s="11"/>
      <c r="R7318" s="11"/>
      <c r="S7318" s="11"/>
    </row>
    <row r="7319" spans="1:19" s="9" customFormat="1" x14ac:dyDescent="0.25">
      <c r="A7319" s="10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  <c r="Q7319" s="11"/>
      <c r="R7319" s="11"/>
      <c r="S7319" s="11"/>
    </row>
    <row r="7320" spans="1:19" s="9" customFormat="1" x14ac:dyDescent="0.25">
      <c r="A7320" s="10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  <c r="Q7320" s="11"/>
      <c r="R7320" s="11"/>
      <c r="S7320" s="11"/>
    </row>
    <row r="7321" spans="1:19" s="9" customFormat="1" x14ac:dyDescent="0.25">
      <c r="A7321" s="10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  <c r="Q7321" s="11"/>
      <c r="R7321" s="11"/>
      <c r="S7321" s="11"/>
    </row>
    <row r="7322" spans="1:19" s="9" customFormat="1" x14ac:dyDescent="0.25">
      <c r="A7322" s="10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  <c r="Q7322" s="11"/>
      <c r="R7322" s="11"/>
      <c r="S7322" s="11"/>
    </row>
    <row r="7323" spans="1:19" s="9" customFormat="1" x14ac:dyDescent="0.25">
      <c r="A7323" s="10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  <c r="Q7323" s="11"/>
      <c r="R7323" s="11"/>
      <c r="S7323" s="11"/>
    </row>
    <row r="7324" spans="1:19" s="9" customFormat="1" x14ac:dyDescent="0.25">
      <c r="A7324" s="10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  <c r="Q7324" s="11"/>
      <c r="R7324" s="11"/>
      <c r="S7324" s="11"/>
    </row>
    <row r="7325" spans="1:19" s="9" customFormat="1" x14ac:dyDescent="0.25">
      <c r="A7325" s="10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  <c r="Q7325" s="11"/>
      <c r="R7325" s="11"/>
      <c r="S7325" s="11"/>
    </row>
    <row r="7326" spans="1:19" s="9" customFormat="1" x14ac:dyDescent="0.25">
      <c r="A7326" s="10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  <c r="Q7326" s="11"/>
      <c r="R7326" s="11"/>
      <c r="S7326" s="11"/>
    </row>
    <row r="7327" spans="1:19" s="9" customFormat="1" x14ac:dyDescent="0.25">
      <c r="A7327" s="10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  <c r="Q7327" s="11"/>
      <c r="R7327" s="11"/>
      <c r="S7327" s="11"/>
    </row>
    <row r="7328" spans="1:19" s="9" customFormat="1" x14ac:dyDescent="0.25">
      <c r="A7328" s="10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  <c r="Q7328" s="11"/>
      <c r="R7328" s="11"/>
      <c r="S7328" s="11"/>
    </row>
    <row r="7329" spans="1:19" s="9" customFormat="1" x14ac:dyDescent="0.25">
      <c r="A7329" s="10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  <c r="Q7329" s="11"/>
      <c r="R7329" s="11"/>
      <c r="S7329" s="11"/>
    </row>
    <row r="7330" spans="1:19" s="9" customFormat="1" x14ac:dyDescent="0.25">
      <c r="A7330" s="10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  <c r="Q7330" s="11"/>
      <c r="R7330" s="11"/>
      <c r="S7330" s="11"/>
    </row>
    <row r="7331" spans="1:19" s="9" customFormat="1" x14ac:dyDescent="0.25">
      <c r="A7331" s="10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  <c r="Q7331" s="11"/>
      <c r="R7331" s="11"/>
      <c r="S7331" s="11"/>
    </row>
    <row r="7332" spans="1:19" s="9" customFormat="1" x14ac:dyDescent="0.25">
      <c r="A7332" s="10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  <c r="Q7332" s="11"/>
      <c r="R7332" s="11"/>
      <c r="S7332" s="11"/>
    </row>
    <row r="7333" spans="1:19" s="9" customFormat="1" x14ac:dyDescent="0.25">
      <c r="A7333" s="10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  <c r="Q7333" s="11"/>
      <c r="R7333" s="11"/>
      <c r="S7333" s="11"/>
    </row>
    <row r="7334" spans="1:19" s="9" customFormat="1" x14ac:dyDescent="0.25">
      <c r="A7334" s="10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  <c r="Q7334" s="11"/>
      <c r="R7334" s="11"/>
      <c r="S7334" s="11"/>
    </row>
    <row r="7335" spans="1:19" s="9" customFormat="1" x14ac:dyDescent="0.25">
      <c r="A7335" s="10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  <c r="Q7335" s="11"/>
      <c r="R7335" s="11"/>
      <c r="S7335" s="11"/>
    </row>
    <row r="7336" spans="1:19" s="9" customFormat="1" x14ac:dyDescent="0.25">
      <c r="A7336" s="10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  <c r="Q7336" s="11"/>
      <c r="R7336" s="11"/>
      <c r="S7336" s="11"/>
    </row>
    <row r="7337" spans="1:19" s="9" customFormat="1" x14ac:dyDescent="0.25">
      <c r="A7337" s="10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  <c r="Q7337" s="11"/>
      <c r="R7337" s="11"/>
      <c r="S7337" s="11"/>
    </row>
    <row r="7338" spans="1:19" s="9" customFormat="1" x14ac:dyDescent="0.25">
      <c r="A7338" s="10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  <c r="Q7338" s="11"/>
      <c r="R7338" s="11"/>
      <c r="S7338" s="11"/>
    </row>
    <row r="7339" spans="1:19" s="9" customFormat="1" x14ac:dyDescent="0.25">
      <c r="A7339" s="10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  <c r="Q7339" s="11"/>
      <c r="R7339" s="11"/>
      <c r="S7339" s="11"/>
    </row>
    <row r="7340" spans="1:19" s="9" customFormat="1" x14ac:dyDescent="0.25">
      <c r="A7340" s="10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  <c r="Q7340" s="11"/>
      <c r="R7340" s="11"/>
      <c r="S7340" s="11"/>
    </row>
    <row r="7341" spans="1:19" s="9" customFormat="1" x14ac:dyDescent="0.25">
      <c r="A7341" s="10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  <c r="Q7341" s="11"/>
      <c r="R7341" s="11"/>
      <c r="S7341" s="11"/>
    </row>
    <row r="7342" spans="1:19" s="9" customFormat="1" x14ac:dyDescent="0.25">
      <c r="A7342" s="10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  <c r="Q7342" s="11"/>
      <c r="R7342" s="11"/>
      <c r="S7342" s="11"/>
    </row>
    <row r="7343" spans="1:19" s="9" customFormat="1" x14ac:dyDescent="0.25">
      <c r="A7343" s="10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  <c r="Q7343" s="11"/>
      <c r="R7343" s="11"/>
      <c r="S7343" s="11"/>
    </row>
    <row r="7344" spans="1:19" s="9" customFormat="1" x14ac:dyDescent="0.25">
      <c r="A7344" s="10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  <c r="Q7344" s="11"/>
      <c r="R7344" s="11"/>
      <c r="S7344" s="11"/>
    </row>
    <row r="7345" spans="1:19" s="9" customFormat="1" x14ac:dyDescent="0.25">
      <c r="A7345" s="10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  <c r="Q7345" s="11"/>
      <c r="R7345" s="11"/>
      <c r="S7345" s="11"/>
    </row>
    <row r="7346" spans="1:19" s="9" customFormat="1" x14ac:dyDescent="0.25">
      <c r="A7346" s="10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  <c r="Q7346" s="11"/>
      <c r="R7346" s="11"/>
      <c r="S7346" s="11"/>
    </row>
    <row r="7347" spans="1:19" s="9" customFormat="1" x14ac:dyDescent="0.25">
      <c r="A7347" s="10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  <c r="Q7347" s="11"/>
      <c r="R7347" s="11"/>
      <c r="S7347" s="11"/>
    </row>
    <row r="7348" spans="1:19" s="9" customFormat="1" x14ac:dyDescent="0.25">
      <c r="A7348" s="10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  <c r="Q7348" s="11"/>
      <c r="R7348" s="11"/>
      <c r="S7348" s="11"/>
    </row>
    <row r="7349" spans="1:19" s="9" customFormat="1" x14ac:dyDescent="0.25">
      <c r="A7349" s="10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  <c r="Q7349" s="11"/>
      <c r="R7349" s="11"/>
      <c r="S7349" s="11"/>
    </row>
    <row r="7350" spans="1:19" s="9" customFormat="1" x14ac:dyDescent="0.25">
      <c r="A7350" s="10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  <c r="Q7350" s="11"/>
      <c r="R7350" s="11"/>
      <c r="S7350" s="11"/>
    </row>
    <row r="7351" spans="1:19" s="9" customFormat="1" x14ac:dyDescent="0.25">
      <c r="A7351" s="10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  <c r="Q7351" s="11"/>
      <c r="R7351" s="11"/>
      <c r="S7351" s="11"/>
    </row>
    <row r="7352" spans="1:19" s="9" customFormat="1" x14ac:dyDescent="0.25">
      <c r="A7352" s="10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  <c r="Q7352" s="11"/>
      <c r="R7352" s="11"/>
      <c r="S7352" s="11"/>
    </row>
    <row r="7353" spans="1:19" s="9" customFormat="1" x14ac:dyDescent="0.25">
      <c r="A7353" s="10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  <c r="Q7353" s="11"/>
      <c r="R7353" s="11"/>
      <c r="S7353" s="11"/>
    </row>
    <row r="7354" spans="1:19" s="9" customFormat="1" x14ac:dyDescent="0.25">
      <c r="A7354" s="10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  <c r="Q7354" s="11"/>
      <c r="R7354" s="11"/>
      <c r="S7354" s="11"/>
    </row>
    <row r="7355" spans="1:19" s="9" customFormat="1" x14ac:dyDescent="0.25">
      <c r="A7355" s="10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  <c r="Q7355" s="11"/>
      <c r="R7355" s="11"/>
      <c r="S7355" s="11"/>
    </row>
    <row r="7356" spans="1:19" s="9" customFormat="1" x14ac:dyDescent="0.25">
      <c r="A7356" s="10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  <c r="Q7356" s="11"/>
      <c r="R7356" s="11"/>
      <c r="S7356" s="11"/>
    </row>
    <row r="7357" spans="1:19" s="9" customFormat="1" x14ac:dyDescent="0.25">
      <c r="A7357" s="10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  <c r="Q7357" s="11"/>
      <c r="R7357" s="11"/>
      <c r="S7357" s="11"/>
    </row>
    <row r="7358" spans="1:19" s="9" customFormat="1" x14ac:dyDescent="0.25">
      <c r="A7358" s="10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  <c r="Q7358" s="11"/>
      <c r="R7358" s="11"/>
      <c r="S7358" s="11"/>
    </row>
    <row r="7359" spans="1:19" s="9" customFormat="1" x14ac:dyDescent="0.25">
      <c r="A7359" s="10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  <c r="Q7359" s="11"/>
      <c r="R7359" s="11"/>
      <c r="S7359" s="11"/>
    </row>
    <row r="7360" spans="1:19" s="9" customFormat="1" x14ac:dyDescent="0.25">
      <c r="A7360" s="10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  <c r="Q7360" s="11"/>
      <c r="R7360" s="11"/>
      <c r="S7360" s="11"/>
    </row>
    <row r="7361" spans="1:19" s="9" customFormat="1" x14ac:dyDescent="0.25">
      <c r="A7361" s="10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  <c r="Q7361" s="11"/>
      <c r="R7361" s="11"/>
      <c r="S7361" s="11"/>
    </row>
    <row r="7362" spans="1:19" s="9" customFormat="1" x14ac:dyDescent="0.25">
      <c r="A7362" s="10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  <c r="Q7362" s="11"/>
      <c r="R7362" s="11"/>
      <c r="S7362" s="11"/>
    </row>
    <row r="7363" spans="1:19" s="9" customFormat="1" x14ac:dyDescent="0.25">
      <c r="A7363" s="10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  <c r="Q7363" s="11"/>
      <c r="R7363" s="11"/>
      <c r="S7363" s="11"/>
    </row>
    <row r="7364" spans="1:19" s="9" customFormat="1" x14ac:dyDescent="0.25">
      <c r="A7364" s="10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  <c r="Q7364" s="11"/>
      <c r="R7364" s="11"/>
      <c r="S7364" s="11"/>
    </row>
    <row r="7365" spans="1:19" s="9" customFormat="1" x14ac:dyDescent="0.25">
      <c r="A7365" s="10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  <c r="Q7365" s="11"/>
      <c r="R7365" s="11"/>
      <c r="S7365" s="11"/>
    </row>
    <row r="7366" spans="1:19" s="9" customFormat="1" x14ac:dyDescent="0.25">
      <c r="A7366" s="10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  <c r="Q7366" s="11"/>
      <c r="R7366" s="11"/>
      <c r="S7366" s="11"/>
    </row>
    <row r="7367" spans="1:19" s="9" customFormat="1" x14ac:dyDescent="0.25">
      <c r="A7367" s="10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  <c r="Q7367" s="11"/>
      <c r="R7367" s="11"/>
      <c r="S7367" s="11"/>
    </row>
    <row r="7368" spans="1:19" s="9" customFormat="1" x14ac:dyDescent="0.25">
      <c r="A7368" s="10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  <c r="Q7368" s="11"/>
      <c r="R7368" s="11"/>
      <c r="S7368" s="11"/>
    </row>
    <row r="7369" spans="1:19" s="9" customFormat="1" x14ac:dyDescent="0.25">
      <c r="A7369" s="10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  <c r="Q7369" s="11"/>
      <c r="R7369" s="11"/>
      <c r="S7369" s="11"/>
    </row>
    <row r="7370" spans="1:19" s="9" customFormat="1" x14ac:dyDescent="0.25">
      <c r="A7370" s="10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  <c r="Q7370" s="11"/>
      <c r="R7370" s="11"/>
      <c r="S7370" s="11"/>
    </row>
    <row r="7371" spans="1:19" s="9" customFormat="1" x14ac:dyDescent="0.25">
      <c r="A7371" s="10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  <c r="Q7371" s="11"/>
      <c r="R7371" s="11"/>
      <c r="S7371" s="11"/>
    </row>
    <row r="7372" spans="1:19" s="9" customFormat="1" x14ac:dyDescent="0.25">
      <c r="A7372" s="10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  <c r="Q7372" s="11"/>
      <c r="R7372" s="11"/>
      <c r="S7372" s="11"/>
    </row>
    <row r="7373" spans="1:19" s="9" customFormat="1" x14ac:dyDescent="0.25">
      <c r="A7373" s="10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  <c r="Q7373" s="11"/>
      <c r="R7373" s="11"/>
      <c r="S7373" s="11"/>
    </row>
    <row r="7374" spans="1:19" s="9" customFormat="1" x14ac:dyDescent="0.25">
      <c r="A7374" s="10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  <c r="Q7374" s="11"/>
      <c r="R7374" s="11"/>
      <c r="S7374" s="11"/>
    </row>
    <row r="7375" spans="1:19" s="9" customFormat="1" x14ac:dyDescent="0.25">
      <c r="A7375" s="10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  <c r="Q7375" s="11"/>
      <c r="R7375" s="11"/>
      <c r="S7375" s="11"/>
    </row>
    <row r="7376" spans="1:19" s="9" customFormat="1" x14ac:dyDescent="0.25">
      <c r="A7376" s="10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  <c r="Q7376" s="11"/>
      <c r="R7376" s="11"/>
      <c r="S7376" s="11"/>
    </row>
    <row r="7377" spans="1:19" s="9" customFormat="1" x14ac:dyDescent="0.25">
      <c r="A7377" s="10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  <c r="Q7377" s="11"/>
      <c r="R7377" s="11"/>
      <c r="S7377" s="11"/>
    </row>
    <row r="7378" spans="1:19" s="9" customFormat="1" x14ac:dyDescent="0.25">
      <c r="A7378" s="10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  <c r="Q7378" s="11"/>
      <c r="R7378" s="11"/>
      <c r="S7378" s="11"/>
    </row>
    <row r="7379" spans="1:19" s="9" customFormat="1" x14ac:dyDescent="0.25">
      <c r="A7379" s="10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  <c r="Q7379" s="11"/>
      <c r="R7379" s="11"/>
      <c r="S7379" s="11"/>
    </row>
    <row r="7380" spans="1:19" s="9" customFormat="1" x14ac:dyDescent="0.25">
      <c r="A7380" s="10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  <c r="Q7380" s="11"/>
      <c r="R7380" s="11"/>
      <c r="S7380" s="11"/>
    </row>
    <row r="7381" spans="1:19" s="9" customFormat="1" x14ac:dyDescent="0.25">
      <c r="A7381" s="10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  <c r="Q7381" s="11"/>
      <c r="R7381" s="11"/>
      <c r="S7381" s="11"/>
    </row>
    <row r="7382" spans="1:19" s="9" customFormat="1" x14ac:dyDescent="0.25">
      <c r="A7382" s="10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  <c r="Q7382" s="11"/>
      <c r="R7382" s="11"/>
      <c r="S7382" s="11"/>
    </row>
    <row r="7383" spans="1:19" s="9" customFormat="1" x14ac:dyDescent="0.25">
      <c r="A7383" s="10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  <c r="Q7383" s="11"/>
      <c r="R7383" s="11"/>
      <c r="S7383" s="11"/>
    </row>
    <row r="7384" spans="1:19" s="9" customFormat="1" x14ac:dyDescent="0.25">
      <c r="A7384" s="10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  <c r="Q7384" s="11"/>
      <c r="R7384" s="11"/>
      <c r="S7384" s="11"/>
    </row>
    <row r="7385" spans="1:19" s="9" customFormat="1" x14ac:dyDescent="0.25">
      <c r="A7385" s="10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  <c r="Q7385" s="11"/>
      <c r="R7385" s="11"/>
      <c r="S7385" s="11"/>
    </row>
    <row r="7386" spans="1:19" s="9" customFormat="1" x14ac:dyDescent="0.25">
      <c r="A7386" s="10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  <c r="Q7386" s="11"/>
      <c r="R7386" s="11"/>
      <c r="S7386" s="11"/>
    </row>
    <row r="7387" spans="1:19" s="9" customFormat="1" x14ac:dyDescent="0.25">
      <c r="A7387" s="10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  <c r="Q7387" s="11"/>
      <c r="R7387" s="11"/>
      <c r="S7387" s="11"/>
    </row>
    <row r="7388" spans="1:19" s="9" customFormat="1" x14ac:dyDescent="0.25">
      <c r="A7388" s="10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  <c r="Q7388" s="11"/>
      <c r="R7388" s="11"/>
      <c r="S7388" s="11"/>
    </row>
    <row r="7389" spans="1:19" s="9" customFormat="1" x14ac:dyDescent="0.25">
      <c r="A7389" s="10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  <c r="Q7389" s="11"/>
      <c r="R7389" s="11"/>
      <c r="S7389" s="11"/>
    </row>
    <row r="7390" spans="1:19" s="9" customFormat="1" x14ac:dyDescent="0.25">
      <c r="A7390" s="10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  <c r="Q7390" s="11"/>
      <c r="R7390" s="11"/>
      <c r="S7390" s="11"/>
    </row>
    <row r="7391" spans="1:19" s="9" customFormat="1" x14ac:dyDescent="0.25">
      <c r="A7391" s="10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  <c r="Q7391" s="11"/>
      <c r="R7391" s="11"/>
      <c r="S7391" s="11"/>
    </row>
    <row r="7392" spans="1:19" s="9" customFormat="1" x14ac:dyDescent="0.25">
      <c r="A7392" s="10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  <c r="Q7392" s="11"/>
      <c r="R7392" s="11"/>
      <c r="S7392" s="11"/>
    </row>
    <row r="7393" spans="1:19" s="9" customFormat="1" x14ac:dyDescent="0.25">
      <c r="A7393" s="10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  <c r="Q7393" s="11"/>
      <c r="R7393" s="11"/>
      <c r="S7393" s="11"/>
    </row>
    <row r="7394" spans="1:19" s="9" customFormat="1" x14ac:dyDescent="0.25">
      <c r="A7394" s="10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  <c r="Q7394" s="11"/>
      <c r="R7394" s="11"/>
      <c r="S7394" s="11"/>
    </row>
    <row r="7395" spans="1:19" s="9" customFormat="1" x14ac:dyDescent="0.25">
      <c r="A7395" s="10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  <c r="Q7395" s="11"/>
      <c r="R7395" s="11"/>
      <c r="S7395" s="11"/>
    </row>
    <row r="7396" spans="1:19" s="9" customFormat="1" x14ac:dyDescent="0.25">
      <c r="A7396" s="10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  <c r="Q7396" s="11"/>
      <c r="R7396" s="11"/>
      <c r="S7396" s="11"/>
    </row>
    <row r="7397" spans="1:19" s="9" customFormat="1" x14ac:dyDescent="0.25">
      <c r="A7397" s="10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  <c r="Q7397" s="11"/>
      <c r="R7397" s="11"/>
      <c r="S7397" s="11"/>
    </row>
    <row r="7398" spans="1:19" s="9" customFormat="1" x14ac:dyDescent="0.25">
      <c r="A7398" s="10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  <c r="Q7398" s="11"/>
      <c r="R7398" s="11"/>
      <c r="S7398" s="11"/>
    </row>
    <row r="7399" spans="1:19" s="9" customFormat="1" x14ac:dyDescent="0.25">
      <c r="A7399" s="10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  <c r="Q7399" s="11"/>
      <c r="R7399" s="11"/>
      <c r="S7399" s="11"/>
    </row>
    <row r="7400" spans="1:19" s="9" customFormat="1" x14ac:dyDescent="0.25">
      <c r="A7400" s="10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  <c r="Q7400" s="11"/>
      <c r="R7400" s="11"/>
      <c r="S7400" s="11"/>
    </row>
    <row r="7401" spans="1:19" s="9" customFormat="1" x14ac:dyDescent="0.25">
      <c r="A7401" s="10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  <c r="Q7401" s="11"/>
      <c r="R7401" s="11"/>
      <c r="S7401" s="11"/>
    </row>
    <row r="7402" spans="1:19" s="9" customFormat="1" x14ac:dyDescent="0.25">
      <c r="A7402" s="10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  <c r="Q7402" s="11"/>
      <c r="R7402" s="11"/>
      <c r="S7402" s="11"/>
    </row>
    <row r="7403" spans="1:19" s="9" customFormat="1" x14ac:dyDescent="0.25">
      <c r="A7403" s="10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  <c r="Q7403" s="11"/>
      <c r="R7403" s="11"/>
      <c r="S7403" s="11"/>
    </row>
    <row r="7404" spans="1:19" s="9" customFormat="1" x14ac:dyDescent="0.25">
      <c r="A7404" s="10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  <c r="Q7404" s="11"/>
      <c r="R7404" s="11"/>
      <c r="S7404" s="11"/>
    </row>
    <row r="7405" spans="1:19" s="9" customFormat="1" x14ac:dyDescent="0.25">
      <c r="A7405" s="10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  <c r="Q7405" s="11"/>
      <c r="R7405" s="11"/>
      <c r="S7405" s="11"/>
    </row>
    <row r="7406" spans="1:19" s="9" customFormat="1" x14ac:dyDescent="0.25">
      <c r="A7406" s="10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  <c r="Q7406" s="11"/>
      <c r="R7406" s="11"/>
      <c r="S7406" s="11"/>
    </row>
    <row r="7407" spans="1:19" s="9" customFormat="1" x14ac:dyDescent="0.25">
      <c r="A7407" s="10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  <c r="Q7407" s="11"/>
      <c r="R7407" s="11"/>
      <c r="S7407" s="11"/>
    </row>
    <row r="7408" spans="1:19" s="9" customFormat="1" x14ac:dyDescent="0.25">
      <c r="A7408" s="10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  <c r="Q7408" s="11"/>
      <c r="R7408" s="11"/>
      <c r="S7408" s="11"/>
    </row>
    <row r="7409" spans="1:19" s="9" customFormat="1" x14ac:dyDescent="0.25">
      <c r="A7409" s="10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  <c r="Q7409" s="11"/>
      <c r="R7409" s="11"/>
      <c r="S7409" s="11"/>
    </row>
    <row r="7410" spans="1:19" s="9" customFormat="1" x14ac:dyDescent="0.25">
      <c r="A7410" s="10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  <c r="Q7410" s="11"/>
      <c r="R7410" s="11"/>
      <c r="S7410" s="11"/>
    </row>
    <row r="7411" spans="1:19" s="9" customFormat="1" x14ac:dyDescent="0.25">
      <c r="A7411" s="10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  <c r="Q7411" s="11"/>
      <c r="R7411" s="11"/>
      <c r="S7411" s="11"/>
    </row>
    <row r="7412" spans="1:19" s="9" customFormat="1" x14ac:dyDescent="0.25">
      <c r="A7412" s="10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  <c r="Q7412" s="11"/>
      <c r="R7412" s="11"/>
      <c r="S7412" s="11"/>
    </row>
    <row r="7413" spans="1:19" s="9" customFormat="1" x14ac:dyDescent="0.25">
      <c r="A7413" s="10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  <c r="Q7413" s="11"/>
      <c r="R7413" s="11"/>
      <c r="S7413" s="11"/>
    </row>
    <row r="7414" spans="1:19" s="9" customFormat="1" x14ac:dyDescent="0.25">
      <c r="A7414" s="10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  <c r="Q7414" s="11"/>
      <c r="R7414" s="11"/>
      <c r="S7414" s="11"/>
    </row>
    <row r="7415" spans="1:19" s="9" customFormat="1" x14ac:dyDescent="0.25">
      <c r="A7415" s="10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  <c r="Q7415" s="11"/>
      <c r="R7415" s="11"/>
      <c r="S7415" s="11"/>
    </row>
    <row r="7416" spans="1:19" s="9" customFormat="1" x14ac:dyDescent="0.25">
      <c r="A7416" s="10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  <c r="Q7416" s="11"/>
      <c r="R7416" s="11"/>
      <c r="S7416" s="11"/>
    </row>
    <row r="7417" spans="1:19" s="9" customFormat="1" x14ac:dyDescent="0.25">
      <c r="A7417" s="10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  <c r="Q7417" s="11"/>
      <c r="R7417" s="11"/>
      <c r="S7417" s="11"/>
    </row>
    <row r="7418" spans="1:19" s="9" customFormat="1" x14ac:dyDescent="0.25">
      <c r="A7418" s="10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  <c r="Q7418" s="11"/>
      <c r="R7418" s="11"/>
      <c r="S7418" s="11"/>
    </row>
    <row r="7419" spans="1:19" s="9" customFormat="1" x14ac:dyDescent="0.25">
      <c r="A7419" s="10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  <c r="Q7419" s="11"/>
      <c r="R7419" s="11"/>
      <c r="S7419" s="11"/>
    </row>
    <row r="7420" spans="1:19" s="9" customFormat="1" x14ac:dyDescent="0.25">
      <c r="A7420" s="10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  <c r="Q7420" s="11"/>
      <c r="R7420" s="11"/>
      <c r="S7420" s="11"/>
    </row>
    <row r="7421" spans="1:19" s="9" customFormat="1" x14ac:dyDescent="0.25">
      <c r="A7421" s="10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  <c r="Q7421" s="11"/>
      <c r="R7421" s="11"/>
      <c r="S7421" s="11"/>
    </row>
    <row r="7422" spans="1:19" s="9" customFormat="1" x14ac:dyDescent="0.25">
      <c r="A7422" s="10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  <c r="Q7422" s="11"/>
      <c r="R7422" s="11"/>
      <c r="S7422" s="11"/>
    </row>
    <row r="7423" spans="1:19" s="9" customFormat="1" x14ac:dyDescent="0.25">
      <c r="A7423" s="10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  <c r="Q7423" s="11"/>
      <c r="R7423" s="11"/>
      <c r="S7423" s="11"/>
    </row>
    <row r="7424" spans="1:19" s="9" customFormat="1" x14ac:dyDescent="0.25">
      <c r="A7424" s="10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  <c r="Q7424" s="11"/>
      <c r="R7424" s="11"/>
      <c r="S7424" s="11"/>
    </row>
    <row r="7425" spans="1:19" s="9" customFormat="1" x14ac:dyDescent="0.25">
      <c r="A7425" s="10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  <c r="Q7425" s="11"/>
      <c r="R7425" s="11"/>
      <c r="S7425" s="11"/>
    </row>
    <row r="7426" spans="1:19" s="9" customFormat="1" x14ac:dyDescent="0.25">
      <c r="A7426" s="10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  <c r="Q7426" s="11"/>
      <c r="R7426" s="11"/>
      <c r="S7426" s="11"/>
    </row>
    <row r="7427" spans="1:19" s="9" customFormat="1" x14ac:dyDescent="0.25">
      <c r="A7427" s="10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  <c r="Q7427" s="11"/>
      <c r="R7427" s="11"/>
      <c r="S7427" s="11"/>
    </row>
    <row r="7428" spans="1:19" s="9" customFormat="1" x14ac:dyDescent="0.25">
      <c r="A7428" s="10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  <c r="Q7428" s="11"/>
      <c r="R7428" s="11"/>
      <c r="S7428" s="11"/>
    </row>
    <row r="7429" spans="1:19" s="9" customFormat="1" x14ac:dyDescent="0.25">
      <c r="A7429" s="10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  <c r="Q7429" s="11"/>
      <c r="R7429" s="11"/>
      <c r="S7429" s="11"/>
    </row>
    <row r="7430" spans="1:19" s="9" customFormat="1" x14ac:dyDescent="0.25">
      <c r="A7430" s="10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  <c r="Q7430" s="11"/>
      <c r="R7430" s="11"/>
      <c r="S7430" s="11"/>
    </row>
    <row r="7431" spans="1:19" s="9" customFormat="1" x14ac:dyDescent="0.25">
      <c r="A7431" s="10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  <c r="Q7431" s="11"/>
      <c r="R7431" s="11"/>
      <c r="S7431" s="11"/>
    </row>
    <row r="7432" spans="1:19" s="9" customFormat="1" x14ac:dyDescent="0.25">
      <c r="A7432" s="10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  <c r="Q7432" s="11"/>
      <c r="R7432" s="11"/>
      <c r="S7432" s="11"/>
    </row>
    <row r="7433" spans="1:19" s="9" customFormat="1" x14ac:dyDescent="0.25">
      <c r="A7433" s="10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  <c r="Q7433" s="11"/>
      <c r="R7433" s="11"/>
      <c r="S7433" s="11"/>
    </row>
    <row r="7434" spans="1:19" s="9" customFormat="1" x14ac:dyDescent="0.25">
      <c r="A7434" s="10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  <c r="Q7434" s="11"/>
      <c r="R7434" s="11"/>
      <c r="S7434" s="11"/>
    </row>
    <row r="7435" spans="1:19" s="9" customFormat="1" x14ac:dyDescent="0.25">
      <c r="A7435" s="10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  <c r="Q7435" s="11"/>
      <c r="R7435" s="11"/>
      <c r="S7435" s="11"/>
    </row>
    <row r="7436" spans="1:19" s="9" customFormat="1" x14ac:dyDescent="0.25">
      <c r="A7436" s="10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  <c r="Q7436" s="11"/>
      <c r="R7436" s="11"/>
      <c r="S7436" s="11"/>
    </row>
    <row r="7437" spans="1:19" s="9" customFormat="1" x14ac:dyDescent="0.25">
      <c r="A7437" s="10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  <c r="Q7437" s="11"/>
      <c r="R7437" s="11"/>
      <c r="S7437" s="11"/>
    </row>
    <row r="7438" spans="1:19" s="9" customFormat="1" x14ac:dyDescent="0.25">
      <c r="A7438" s="10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  <c r="Q7438" s="11"/>
      <c r="R7438" s="11"/>
      <c r="S7438" s="11"/>
    </row>
    <row r="7439" spans="1:19" s="9" customFormat="1" x14ac:dyDescent="0.25">
      <c r="A7439" s="10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  <c r="Q7439" s="11"/>
      <c r="R7439" s="11"/>
      <c r="S7439" s="11"/>
    </row>
    <row r="7440" spans="1:19" s="9" customFormat="1" x14ac:dyDescent="0.25">
      <c r="A7440" s="10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  <c r="Q7440" s="11"/>
      <c r="R7440" s="11"/>
      <c r="S7440" s="11"/>
    </row>
    <row r="7441" spans="1:19" s="9" customFormat="1" x14ac:dyDescent="0.25">
      <c r="A7441" s="10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  <c r="Q7441" s="11"/>
      <c r="R7441" s="11"/>
      <c r="S7441" s="11"/>
    </row>
    <row r="7442" spans="1:19" s="9" customFormat="1" x14ac:dyDescent="0.25">
      <c r="A7442" s="10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  <c r="Q7442" s="11"/>
      <c r="R7442" s="11"/>
      <c r="S7442" s="11"/>
    </row>
    <row r="7443" spans="1:19" s="9" customFormat="1" x14ac:dyDescent="0.25">
      <c r="A7443" s="10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  <c r="Q7443" s="11"/>
      <c r="R7443" s="11"/>
      <c r="S7443" s="11"/>
    </row>
    <row r="7444" spans="1:19" s="9" customFormat="1" x14ac:dyDescent="0.25">
      <c r="A7444" s="10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  <c r="Q7444" s="11"/>
      <c r="R7444" s="11"/>
      <c r="S7444" s="11"/>
    </row>
    <row r="7445" spans="1:19" s="9" customFormat="1" x14ac:dyDescent="0.25">
      <c r="A7445" s="10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  <c r="Q7445" s="11"/>
      <c r="R7445" s="11"/>
      <c r="S7445" s="11"/>
    </row>
    <row r="7446" spans="1:19" s="9" customFormat="1" x14ac:dyDescent="0.25">
      <c r="A7446" s="10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  <c r="Q7446" s="11"/>
      <c r="R7446" s="11"/>
      <c r="S7446" s="11"/>
    </row>
    <row r="7447" spans="1:19" s="9" customFormat="1" x14ac:dyDescent="0.25">
      <c r="A7447" s="10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  <c r="Q7447" s="11"/>
      <c r="R7447" s="11"/>
      <c r="S7447" s="11"/>
    </row>
    <row r="7448" spans="1:19" s="9" customFormat="1" x14ac:dyDescent="0.25">
      <c r="A7448" s="10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  <c r="Q7448" s="11"/>
      <c r="R7448" s="11"/>
      <c r="S7448" s="11"/>
    </row>
    <row r="7449" spans="1:19" s="9" customFormat="1" x14ac:dyDescent="0.25">
      <c r="A7449" s="10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  <c r="Q7449" s="11"/>
      <c r="R7449" s="11"/>
      <c r="S7449" s="11"/>
    </row>
    <row r="7450" spans="1:19" s="9" customFormat="1" x14ac:dyDescent="0.25">
      <c r="A7450" s="10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  <c r="Q7450" s="11"/>
      <c r="R7450" s="11"/>
      <c r="S7450" s="11"/>
    </row>
    <row r="7451" spans="1:19" s="9" customFormat="1" x14ac:dyDescent="0.25">
      <c r="A7451" s="10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  <c r="Q7451" s="11"/>
      <c r="R7451" s="11"/>
      <c r="S7451" s="11"/>
    </row>
    <row r="7452" spans="1:19" s="9" customFormat="1" x14ac:dyDescent="0.25">
      <c r="A7452" s="10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  <c r="Q7452" s="11"/>
      <c r="R7452" s="11"/>
      <c r="S7452" s="11"/>
    </row>
    <row r="7453" spans="1:19" s="9" customFormat="1" x14ac:dyDescent="0.25">
      <c r="A7453" s="10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  <c r="Q7453" s="11"/>
      <c r="R7453" s="11"/>
      <c r="S7453" s="11"/>
    </row>
    <row r="7454" spans="1:19" s="9" customFormat="1" x14ac:dyDescent="0.25">
      <c r="A7454" s="10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  <c r="Q7454" s="11"/>
      <c r="R7454" s="11"/>
      <c r="S7454" s="11"/>
    </row>
    <row r="7455" spans="1:19" s="9" customFormat="1" x14ac:dyDescent="0.25">
      <c r="A7455" s="10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  <c r="Q7455" s="11"/>
      <c r="R7455" s="11"/>
      <c r="S7455" s="11"/>
    </row>
    <row r="7456" spans="1:19" s="9" customFormat="1" x14ac:dyDescent="0.25">
      <c r="A7456" s="10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  <c r="Q7456" s="11"/>
      <c r="R7456" s="11"/>
      <c r="S7456" s="11"/>
    </row>
    <row r="7457" spans="1:19" s="9" customFormat="1" x14ac:dyDescent="0.25">
      <c r="A7457" s="10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  <c r="Q7457" s="11"/>
      <c r="R7457" s="11"/>
      <c r="S7457" s="11"/>
    </row>
    <row r="7458" spans="1:19" s="9" customFormat="1" x14ac:dyDescent="0.25">
      <c r="A7458" s="10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  <c r="Q7458" s="11"/>
      <c r="R7458" s="11"/>
      <c r="S7458" s="11"/>
    </row>
    <row r="7459" spans="1:19" s="9" customFormat="1" x14ac:dyDescent="0.25">
      <c r="A7459" s="10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  <c r="Q7459" s="11"/>
      <c r="R7459" s="11"/>
      <c r="S7459" s="11"/>
    </row>
    <row r="7460" spans="1:19" s="9" customFormat="1" x14ac:dyDescent="0.25">
      <c r="A7460" s="10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  <c r="Q7460" s="11"/>
      <c r="R7460" s="11"/>
      <c r="S7460" s="11"/>
    </row>
    <row r="7461" spans="1:19" s="9" customFormat="1" x14ac:dyDescent="0.25">
      <c r="A7461" s="10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  <c r="Q7461" s="11"/>
      <c r="R7461" s="11"/>
      <c r="S7461" s="11"/>
    </row>
    <row r="7462" spans="1:19" s="9" customFormat="1" x14ac:dyDescent="0.25">
      <c r="A7462" s="10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  <c r="Q7462" s="11"/>
      <c r="R7462" s="11"/>
      <c r="S7462" s="11"/>
    </row>
    <row r="7463" spans="1:19" s="9" customFormat="1" x14ac:dyDescent="0.25">
      <c r="A7463" s="10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  <c r="Q7463" s="11"/>
      <c r="R7463" s="11"/>
      <c r="S7463" s="11"/>
    </row>
    <row r="7464" spans="1:19" s="9" customFormat="1" x14ac:dyDescent="0.25">
      <c r="A7464" s="10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  <c r="Q7464" s="11"/>
      <c r="R7464" s="11"/>
      <c r="S7464" s="11"/>
    </row>
    <row r="7465" spans="1:19" s="9" customFormat="1" x14ac:dyDescent="0.25">
      <c r="A7465" s="10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  <c r="Q7465" s="11"/>
      <c r="R7465" s="11"/>
      <c r="S7465" s="11"/>
    </row>
    <row r="7466" spans="1:19" s="9" customFormat="1" x14ac:dyDescent="0.25">
      <c r="A7466" s="10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  <c r="Q7466" s="11"/>
      <c r="R7466" s="11"/>
      <c r="S7466" s="11"/>
    </row>
    <row r="7467" spans="1:19" s="9" customFormat="1" x14ac:dyDescent="0.25">
      <c r="A7467" s="10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  <c r="Q7467" s="11"/>
      <c r="R7467" s="11"/>
      <c r="S7467" s="11"/>
    </row>
    <row r="7468" spans="1:19" s="9" customFormat="1" x14ac:dyDescent="0.25">
      <c r="A7468" s="10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  <c r="Q7468" s="11"/>
      <c r="R7468" s="11"/>
      <c r="S7468" s="11"/>
    </row>
    <row r="7469" spans="1:19" s="9" customFormat="1" x14ac:dyDescent="0.25">
      <c r="A7469" s="10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  <c r="Q7469" s="11"/>
      <c r="R7469" s="11"/>
      <c r="S7469" s="11"/>
    </row>
    <row r="7470" spans="1:19" s="9" customFormat="1" x14ac:dyDescent="0.25">
      <c r="A7470" s="10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  <c r="Q7470" s="11"/>
      <c r="R7470" s="11"/>
      <c r="S7470" s="11"/>
    </row>
    <row r="7471" spans="1:19" s="9" customFormat="1" x14ac:dyDescent="0.25">
      <c r="A7471" s="10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  <c r="Q7471" s="11"/>
      <c r="R7471" s="11"/>
      <c r="S7471" s="11"/>
    </row>
    <row r="7472" spans="1:19" s="9" customFormat="1" x14ac:dyDescent="0.25">
      <c r="A7472" s="10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  <c r="Q7472" s="11"/>
      <c r="R7472" s="11"/>
      <c r="S7472" s="11"/>
    </row>
    <row r="7473" spans="1:19" s="9" customFormat="1" x14ac:dyDescent="0.25">
      <c r="A7473" s="10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  <c r="Q7473" s="11"/>
      <c r="R7473" s="11"/>
      <c r="S7473" s="11"/>
    </row>
    <row r="7474" spans="1:19" s="9" customFormat="1" x14ac:dyDescent="0.25">
      <c r="A7474" s="10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  <c r="Q7474" s="11"/>
      <c r="R7474" s="11"/>
      <c r="S7474" s="11"/>
    </row>
    <row r="7475" spans="1:19" s="9" customFormat="1" x14ac:dyDescent="0.25">
      <c r="A7475" s="10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  <c r="Q7475" s="11"/>
      <c r="R7475" s="11"/>
      <c r="S7475" s="11"/>
    </row>
    <row r="7476" spans="1:19" s="9" customFormat="1" x14ac:dyDescent="0.25">
      <c r="A7476" s="10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  <c r="Q7476" s="11"/>
      <c r="R7476" s="11"/>
      <c r="S7476" s="11"/>
    </row>
    <row r="7477" spans="1:19" s="9" customFormat="1" x14ac:dyDescent="0.25">
      <c r="A7477" s="10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  <c r="Q7477" s="11"/>
      <c r="R7477" s="11"/>
      <c r="S7477" s="11"/>
    </row>
    <row r="7478" spans="1:19" s="9" customFormat="1" x14ac:dyDescent="0.25">
      <c r="A7478" s="10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  <c r="Q7478" s="11"/>
      <c r="R7478" s="11"/>
      <c r="S7478" s="11"/>
    </row>
    <row r="7479" spans="1:19" s="9" customFormat="1" x14ac:dyDescent="0.25">
      <c r="A7479" s="10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  <c r="Q7479" s="11"/>
      <c r="R7479" s="11"/>
      <c r="S7479" s="11"/>
    </row>
    <row r="7480" spans="1:19" s="9" customFormat="1" x14ac:dyDescent="0.25">
      <c r="A7480" s="10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  <c r="Q7480" s="11"/>
      <c r="R7480" s="11"/>
      <c r="S7480" s="11"/>
    </row>
    <row r="7481" spans="1:19" s="9" customFormat="1" x14ac:dyDescent="0.25">
      <c r="A7481" s="10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  <c r="Q7481" s="11"/>
      <c r="R7481" s="11"/>
      <c r="S7481" s="11"/>
    </row>
    <row r="7482" spans="1:19" s="9" customFormat="1" x14ac:dyDescent="0.25">
      <c r="A7482" s="10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  <c r="Q7482" s="11"/>
      <c r="R7482" s="11"/>
      <c r="S7482" s="11"/>
    </row>
    <row r="7483" spans="1:19" s="9" customFormat="1" x14ac:dyDescent="0.25">
      <c r="A7483" s="10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  <c r="Q7483" s="11"/>
      <c r="R7483" s="11"/>
      <c r="S7483" s="11"/>
    </row>
    <row r="7484" spans="1:19" s="9" customFormat="1" x14ac:dyDescent="0.25">
      <c r="A7484" s="10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  <c r="Q7484" s="11"/>
      <c r="R7484" s="11"/>
      <c r="S7484" s="11"/>
    </row>
    <row r="7485" spans="1:19" s="9" customFormat="1" x14ac:dyDescent="0.25">
      <c r="A7485" s="10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  <c r="Q7485" s="11"/>
      <c r="R7485" s="11"/>
      <c r="S7485" s="11"/>
    </row>
    <row r="7486" spans="1:19" s="9" customFormat="1" x14ac:dyDescent="0.25">
      <c r="A7486" s="10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  <c r="Q7486" s="11"/>
      <c r="R7486" s="11"/>
      <c r="S7486" s="11"/>
    </row>
    <row r="7487" spans="1:19" s="9" customFormat="1" x14ac:dyDescent="0.25">
      <c r="A7487" s="10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  <c r="Q7487" s="11"/>
      <c r="R7487" s="11"/>
      <c r="S7487" s="11"/>
    </row>
    <row r="7488" spans="1:19" s="9" customFormat="1" x14ac:dyDescent="0.25">
      <c r="A7488" s="10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  <c r="Q7488" s="11"/>
      <c r="R7488" s="11"/>
      <c r="S7488" s="11"/>
    </row>
    <row r="7489" spans="1:19" s="9" customFormat="1" x14ac:dyDescent="0.25">
      <c r="A7489" s="10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  <c r="Q7489" s="11"/>
      <c r="R7489" s="11"/>
      <c r="S7489" s="11"/>
    </row>
    <row r="7490" spans="1:19" s="9" customFormat="1" x14ac:dyDescent="0.25">
      <c r="A7490" s="10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  <c r="Q7490" s="11"/>
      <c r="R7490" s="11"/>
      <c r="S7490" s="11"/>
    </row>
    <row r="7491" spans="1:19" s="9" customFormat="1" x14ac:dyDescent="0.25">
      <c r="A7491" s="10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  <c r="Q7491" s="11"/>
      <c r="R7491" s="11"/>
      <c r="S7491" s="11"/>
    </row>
    <row r="7492" spans="1:19" s="9" customFormat="1" x14ac:dyDescent="0.25">
      <c r="A7492" s="10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  <c r="Q7492" s="11"/>
      <c r="R7492" s="11"/>
      <c r="S7492" s="11"/>
    </row>
    <row r="7493" spans="1:19" s="9" customFormat="1" x14ac:dyDescent="0.25">
      <c r="A7493" s="10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  <c r="Q7493" s="11"/>
      <c r="R7493" s="11"/>
      <c r="S7493" s="11"/>
    </row>
    <row r="7494" spans="1:19" s="9" customFormat="1" x14ac:dyDescent="0.25">
      <c r="A7494" s="10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  <c r="Q7494" s="11"/>
      <c r="R7494" s="11"/>
      <c r="S7494" s="11"/>
    </row>
    <row r="7495" spans="1:19" s="9" customFormat="1" x14ac:dyDescent="0.25">
      <c r="A7495" s="10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  <c r="Q7495" s="11"/>
      <c r="R7495" s="11"/>
      <c r="S7495" s="11"/>
    </row>
    <row r="7496" spans="1:19" s="9" customFormat="1" x14ac:dyDescent="0.25">
      <c r="A7496" s="10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  <c r="Q7496" s="11"/>
      <c r="R7496" s="11"/>
      <c r="S7496" s="11"/>
    </row>
    <row r="7497" spans="1:19" s="9" customFormat="1" x14ac:dyDescent="0.25">
      <c r="A7497" s="10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  <c r="Q7497" s="11"/>
      <c r="R7497" s="11"/>
      <c r="S7497" s="11"/>
    </row>
    <row r="7498" spans="1:19" s="9" customFormat="1" x14ac:dyDescent="0.25">
      <c r="A7498" s="10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  <c r="Q7498" s="11"/>
      <c r="R7498" s="11"/>
      <c r="S7498" s="11"/>
    </row>
    <row r="7499" spans="1:19" s="9" customFormat="1" x14ac:dyDescent="0.25">
      <c r="A7499" s="10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  <c r="Q7499" s="11"/>
      <c r="R7499" s="11"/>
      <c r="S7499" s="11"/>
    </row>
    <row r="7500" spans="1:19" s="9" customFormat="1" x14ac:dyDescent="0.25">
      <c r="A7500" s="10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  <c r="Q7500" s="11"/>
      <c r="R7500" s="11"/>
      <c r="S7500" s="11"/>
    </row>
    <row r="7501" spans="1:19" s="9" customFormat="1" x14ac:dyDescent="0.25">
      <c r="A7501" s="10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  <c r="Q7501" s="11"/>
      <c r="R7501" s="11"/>
      <c r="S7501" s="11"/>
    </row>
    <row r="7502" spans="1:19" s="9" customFormat="1" x14ac:dyDescent="0.25">
      <c r="A7502" s="10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  <c r="Q7502" s="11"/>
      <c r="R7502" s="11"/>
      <c r="S7502" s="11"/>
    </row>
    <row r="7503" spans="1:19" s="9" customFormat="1" x14ac:dyDescent="0.25">
      <c r="A7503" s="10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  <c r="Q7503" s="11"/>
      <c r="R7503" s="11"/>
      <c r="S7503" s="11"/>
    </row>
    <row r="7504" spans="1:19" s="9" customFormat="1" x14ac:dyDescent="0.25">
      <c r="A7504" s="10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  <c r="Q7504" s="11"/>
      <c r="R7504" s="11"/>
      <c r="S7504" s="11"/>
    </row>
    <row r="7505" spans="1:19" s="9" customFormat="1" x14ac:dyDescent="0.25">
      <c r="A7505" s="10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  <c r="Q7505" s="11"/>
      <c r="R7505" s="11"/>
      <c r="S7505" s="11"/>
    </row>
    <row r="7506" spans="1:19" s="9" customFormat="1" x14ac:dyDescent="0.25">
      <c r="A7506" s="10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  <c r="Q7506" s="11"/>
      <c r="R7506" s="11"/>
      <c r="S7506" s="11"/>
    </row>
    <row r="7507" spans="1:19" s="9" customFormat="1" x14ac:dyDescent="0.25">
      <c r="A7507" s="10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  <c r="Q7507" s="11"/>
      <c r="R7507" s="11"/>
      <c r="S7507" s="11"/>
    </row>
    <row r="7508" spans="1:19" s="9" customFormat="1" x14ac:dyDescent="0.25">
      <c r="A7508" s="10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  <c r="Q7508" s="11"/>
      <c r="R7508" s="11"/>
      <c r="S7508" s="11"/>
    </row>
    <row r="7509" spans="1:19" s="9" customFormat="1" x14ac:dyDescent="0.25">
      <c r="A7509" s="10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  <c r="Q7509" s="11"/>
      <c r="R7509" s="11"/>
      <c r="S7509" s="11"/>
    </row>
    <row r="7510" spans="1:19" s="9" customFormat="1" x14ac:dyDescent="0.25">
      <c r="A7510" s="10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  <c r="Q7510" s="11"/>
      <c r="R7510" s="11"/>
      <c r="S7510" s="11"/>
    </row>
    <row r="7511" spans="1:19" s="9" customFormat="1" x14ac:dyDescent="0.25">
      <c r="A7511" s="10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  <c r="Q7511" s="11"/>
      <c r="R7511" s="11"/>
      <c r="S7511" s="11"/>
    </row>
    <row r="7512" spans="1:19" s="9" customFormat="1" x14ac:dyDescent="0.25">
      <c r="A7512" s="10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  <c r="Q7512" s="11"/>
      <c r="R7512" s="11"/>
      <c r="S7512" s="11"/>
    </row>
    <row r="7513" spans="1:19" s="9" customFormat="1" x14ac:dyDescent="0.25">
      <c r="A7513" s="10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  <c r="Q7513" s="11"/>
      <c r="R7513" s="11"/>
      <c r="S7513" s="11"/>
    </row>
    <row r="7514" spans="1:19" s="9" customFormat="1" x14ac:dyDescent="0.25">
      <c r="A7514" s="10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  <c r="Q7514" s="11"/>
      <c r="R7514" s="11"/>
      <c r="S7514" s="11"/>
    </row>
    <row r="7515" spans="1:19" s="9" customFormat="1" x14ac:dyDescent="0.25">
      <c r="A7515" s="10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  <c r="Q7515" s="11"/>
      <c r="R7515" s="11"/>
      <c r="S7515" s="11"/>
    </row>
    <row r="7516" spans="1:19" s="9" customFormat="1" x14ac:dyDescent="0.25">
      <c r="A7516" s="10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  <c r="Q7516" s="11"/>
      <c r="R7516" s="11"/>
      <c r="S7516" s="11"/>
    </row>
    <row r="7517" spans="1:19" s="9" customFormat="1" x14ac:dyDescent="0.25">
      <c r="A7517" s="10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  <c r="Q7517" s="11"/>
      <c r="R7517" s="11"/>
      <c r="S7517" s="11"/>
    </row>
    <row r="7518" spans="1:19" s="9" customFormat="1" x14ac:dyDescent="0.25">
      <c r="A7518" s="10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  <c r="Q7518" s="11"/>
      <c r="R7518" s="11"/>
      <c r="S7518" s="11"/>
    </row>
    <row r="7519" spans="1:19" s="9" customFormat="1" x14ac:dyDescent="0.25">
      <c r="A7519" s="10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  <c r="Q7519" s="11"/>
      <c r="R7519" s="11"/>
      <c r="S7519" s="11"/>
    </row>
    <row r="7520" spans="1:19" s="9" customFormat="1" x14ac:dyDescent="0.25">
      <c r="A7520" s="10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  <c r="Q7520" s="11"/>
      <c r="R7520" s="11"/>
      <c r="S7520" s="11"/>
    </row>
    <row r="7521" spans="1:19" s="9" customFormat="1" x14ac:dyDescent="0.25">
      <c r="A7521" s="10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  <c r="Q7521" s="11"/>
      <c r="R7521" s="11"/>
      <c r="S7521" s="11"/>
    </row>
    <row r="7522" spans="1:19" s="9" customFormat="1" x14ac:dyDescent="0.25">
      <c r="A7522" s="10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  <c r="Q7522" s="11"/>
      <c r="R7522" s="11"/>
      <c r="S7522" s="11"/>
    </row>
    <row r="7523" spans="1:19" s="9" customFormat="1" x14ac:dyDescent="0.25">
      <c r="A7523" s="10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  <c r="Q7523" s="11"/>
      <c r="R7523" s="11"/>
      <c r="S7523" s="11"/>
    </row>
    <row r="7524" spans="1:19" s="9" customFormat="1" x14ac:dyDescent="0.25">
      <c r="A7524" s="10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  <c r="Q7524" s="11"/>
      <c r="R7524" s="11"/>
      <c r="S7524" s="11"/>
    </row>
    <row r="7525" spans="1:19" s="9" customFormat="1" x14ac:dyDescent="0.25">
      <c r="A7525" s="10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  <c r="Q7525" s="11"/>
      <c r="R7525" s="11"/>
      <c r="S7525" s="11"/>
    </row>
    <row r="7526" spans="1:19" s="9" customFormat="1" x14ac:dyDescent="0.25">
      <c r="A7526" s="10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  <c r="Q7526" s="11"/>
      <c r="R7526" s="11"/>
      <c r="S7526" s="11"/>
    </row>
    <row r="7527" spans="1:19" s="9" customFormat="1" x14ac:dyDescent="0.25">
      <c r="A7527" s="10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  <c r="Q7527" s="11"/>
      <c r="R7527" s="11"/>
      <c r="S7527" s="11"/>
    </row>
    <row r="7528" spans="1:19" s="9" customFormat="1" x14ac:dyDescent="0.25">
      <c r="A7528" s="10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  <c r="Q7528" s="11"/>
      <c r="R7528" s="11"/>
      <c r="S7528" s="11"/>
    </row>
    <row r="7529" spans="1:19" s="9" customFormat="1" x14ac:dyDescent="0.25">
      <c r="A7529" s="10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  <c r="Q7529" s="11"/>
      <c r="R7529" s="11"/>
      <c r="S7529" s="11"/>
    </row>
    <row r="7530" spans="1:19" s="9" customFormat="1" x14ac:dyDescent="0.25">
      <c r="A7530" s="10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  <c r="Q7530" s="11"/>
      <c r="R7530" s="11"/>
      <c r="S7530" s="11"/>
    </row>
    <row r="7531" spans="1:19" s="9" customFormat="1" x14ac:dyDescent="0.25">
      <c r="A7531" s="10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  <c r="Q7531" s="11"/>
      <c r="R7531" s="11"/>
      <c r="S7531" s="11"/>
    </row>
    <row r="7532" spans="1:19" s="9" customFormat="1" x14ac:dyDescent="0.25">
      <c r="A7532" s="10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  <c r="Q7532" s="11"/>
      <c r="R7532" s="11"/>
      <c r="S7532" s="11"/>
    </row>
    <row r="7533" spans="1:19" s="9" customFormat="1" x14ac:dyDescent="0.25">
      <c r="A7533" s="10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  <c r="Q7533" s="11"/>
      <c r="R7533" s="11"/>
      <c r="S7533" s="11"/>
    </row>
    <row r="7534" spans="1:19" s="9" customFormat="1" x14ac:dyDescent="0.25">
      <c r="A7534" s="10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  <c r="Q7534" s="11"/>
      <c r="R7534" s="11"/>
      <c r="S7534" s="11"/>
    </row>
    <row r="7535" spans="1:19" s="9" customFormat="1" x14ac:dyDescent="0.25">
      <c r="A7535" s="10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  <c r="Q7535" s="11"/>
      <c r="R7535" s="11"/>
      <c r="S7535" s="11"/>
    </row>
    <row r="7536" spans="1:19" s="9" customFormat="1" x14ac:dyDescent="0.25">
      <c r="A7536" s="10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  <c r="Q7536" s="11"/>
      <c r="R7536" s="11"/>
      <c r="S7536" s="11"/>
    </row>
    <row r="7537" spans="1:19" s="9" customFormat="1" x14ac:dyDescent="0.25">
      <c r="A7537" s="10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  <c r="Q7537" s="11"/>
      <c r="R7537" s="11"/>
      <c r="S7537" s="11"/>
    </row>
    <row r="7538" spans="1:19" s="9" customFormat="1" x14ac:dyDescent="0.25">
      <c r="A7538" s="10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  <c r="Q7538" s="11"/>
      <c r="R7538" s="11"/>
      <c r="S7538" s="11"/>
    </row>
    <row r="7539" spans="1:19" s="9" customFormat="1" x14ac:dyDescent="0.25">
      <c r="A7539" s="10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  <c r="Q7539" s="11"/>
      <c r="R7539" s="11"/>
      <c r="S7539" s="11"/>
    </row>
    <row r="7540" spans="1:19" s="9" customFormat="1" x14ac:dyDescent="0.25">
      <c r="A7540" s="10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  <c r="Q7540" s="11"/>
      <c r="R7540" s="11"/>
      <c r="S7540" s="11"/>
    </row>
    <row r="7541" spans="1:19" s="9" customFormat="1" x14ac:dyDescent="0.25">
      <c r="A7541" s="10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  <c r="Q7541" s="11"/>
      <c r="R7541" s="11"/>
      <c r="S7541" s="11"/>
    </row>
    <row r="7542" spans="1:19" s="9" customFormat="1" x14ac:dyDescent="0.25">
      <c r="A7542" s="10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  <c r="Q7542" s="11"/>
      <c r="R7542" s="11"/>
      <c r="S7542" s="11"/>
    </row>
    <row r="7543" spans="1:19" s="9" customFormat="1" x14ac:dyDescent="0.25">
      <c r="A7543" s="10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  <c r="Q7543" s="11"/>
      <c r="R7543" s="11"/>
      <c r="S7543" s="11"/>
    </row>
    <row r="7544" spans="1:19" s="9" customFormat="1" x14ac:dyDescent="0.25">
      <c r="A7544" s="10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  <c r="Q7544" s="11"/>
      <c r="R7544" s="11"/>
      <c r="S7544" s="11"/>
    </row>
    <row r="7545" spans="1:19" s="9" customFormat="1" x14ac:dyDescent="0.25">
      <c r="A7545" s="10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  <c r="Q7545" s="11"/>
      <c r="R7545" s="11"/>
      <c r="S7545" s="11"/>
    </row>
    <row r="7546" spans="1:19" s="9" customFormat="1" x14ac:dyDescent="0.25">
      <c r="A7546" s="10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  <c r="Q7546" s="11"/>
      <c r="R7546" s="11"/>
      <c r="S7546" s="11"/>
    </row>
    <row r="7547" spans="1:19" s="9" customFormat="1" x14ac:dyDescent="0.25">
      <c r="A7547" s="10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  <c r="Q7547" s="11"/>
      <c r="R7547" s="11"/>
      <c r="S7547" s="11"/>
    </row>
    <row r="7548" spans="1:19" s="9" customFormat="1" x14ac:dyDescent="0.25">
      <c r="A7548" s="10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  <c r="Q7548" s="11"/>
      <c r="R7548" s="11"/>
      <c r="S7548" s="11"/>
    </row>
    <row r="7549" spans="1:19" s="9" customFormat="1" x14ac:dyDescent="0.25">
      <c r="A7549" s="10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  <c r="Q7549" s="11"/>
      <c r="R7549" s="11"/>
      <c r="S7549" s="11"/>
    </row>
    <row r="7550" spans="1:19" s="9" customFormat="1" x14ac:dyDescent="0.25">
      <c r="A7550" s="10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  <c r="Q7550" s="11"/>
      <c r="R7550" s="11"/>
      <c r="S7550" s="11"/>
    </row>
    <row r="7551" spans="1:19" s="9" customFormat="1" x14ac:dyDescent="0.25">
      <c r="A7551" s="10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  <c r="Q7551" s="11"/>
      <c r="R7551" s="11"/>
      <c r="S7551" s="11"/>
    </row>
    <row r="7552" spans="1:19" s="9" customFormat="1" x14ac:dyDescent="0.25">
      <c r="A7552" s="10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  <c r="Q7552" s="11"/>
      <c r="R7552" s="11"/>
      <c r="S7552" s="11"/>
    </row>
    <row r="7553" spans="1:19" s="9" customFormat="1" x14ac:dyDescent="0.25">
      <c r="A7553" s="10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  <c r="Q7553" s="11"/>
      <c r="R7553" s="11"/>
      <c r="S7553" s="11"/>
    </row>
    <row r="7554" spans="1:19" s="9" customFormat="1" x14ac:dyDescent="0.25">
      <c r="A7554" s="10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  <c r="Q7554" s="11"/>
      <c r="R7554" s="11"/>
      <c r="S7554" s="11"/>
    </row>
    <row r="7555" spans="1:19" s="9" customFormat="1" x14ac:dyDescent="0.25">
      <c r="A7555" s="10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  <c r="Q7555" s="11"/>
      <c r="R7555" s="11"/>
      <c r="S7555" s="11"/>
    </row>
    <row r="7556" spans="1:19" s="9" customFormat="1" x14ac:dyDescent="0.25">
      <c r="A7556" s="10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  <c r="Q7556" s="11"/>
      <c r="R7556" s="11"/>
      <c r="S7556" s="11"/>
    </row>
    <row r="7557" spans="1:19" s="9" customFormat="1" x14ac:dyDescent="0.25">
      <c r="A7557" s="10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  <c r="Q7557" s="11"/>
      <c r="R7557" s="11"/>
      <c r="S7557" s="11"/>
    </row>
    <row r="7558" spans="1:19" s="9" customFormat="1" x14ac:dyDescent="0.25">
      <c r="A7558" s="10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  <c r="Q7558" s="11"/>
      <c r="R7558" s="11"/>
      <c r="S7558" s="11"/>
    </row>
    <row r="7559" spans="1:19" s="9" customFormat="1" x14ac:dyDescent="0.25">
      <c r="A7559" s="10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  <c r="Q7559" s="11"/>
      <c r="R7559" s="11"/>
      <c r="S7559" s="11"/>
    </row>
    <row r="7560" spans="1:19" s="9" customFormat="1" x14ac:dyDescent="0.25">
      <c r="A7560" s="10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  <c r="Q7560" s="11"/>
      <c r="R7560" s="11"/>
      <c r="S7560" s="11"/>
    </row>
    <row r="7561" spans="1:19" s="9" customFormat="1" x14ac:dyDescent="0.25">
      <c r="A7561" s="10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  <c r="Q7561" s="11"/>
      <c r="R7561" s="11"/>
      <c r="S7561" s="11"/>
    </row>
    <row r="7562" spans="1:19" s="9" customFormat="1" x14ac:dyDescent="0.25">
      <c r="A7562" s="10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  <c r="Q7562" s="11"/>
      <c r="R7562" s="11"/>
      <c r="S7562" s="11"/>
    </row>
    <row r="7563" spans="1:19" s="9" customFormat="1" x14ac:dyDescent="0.25">
      <c r="A7563" s="10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  <c r="Q7563" s="11"/>
      <c r="R7563" s="11"/>
      <c r="S7563" s="11"/>
    </row>
    <row r="7564" spans="1:19" s="9" customFormat="1" x14ac:dyDescent="0.25">
      <c r="A7564" s="10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  <c r="Q7564" s="11"/>
      <c r="R7564" s="11"/>
      <c r="S7564" s="11"/>
    </row>
    <row r="7565" spans="1:19" s="9" customFormat="1" x14ac:dyDescent="0.25">
      <c r="A7565" s="10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  <c r="Q7565" s="11"/>
      <c r="R7565" s="11"/>
      <c r="S7565" s="11"/>
    </row>
    <row r="7566" spans="1:19" s="9" customFormat="1" x14ac:dyDescent="0.25">
      <c r="A7566" s="10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  <c r="Q7566" s="11"/>
      <c r="R7566" s="11"/>
      <c r="S7566" s="11"/>
    </row>
    <row r="7567" spans="1:19" s="9" customFormat="1" x14ac:dyDescent="0.25">
      <c r="A7567" s="10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  <c r="Q7567" s="11"/>
      <c r="R7567" s="11"/>
      <c r="S7567" s="11"/>
    </row>
    <row r="7568" spans="1:19" s="9" customFormat="1" x14ac:dyDescent="0.25">
      <c r="A7568" s="10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  <c r="Q7568" s="11"/>
      <c r="R7568" s="11"/>
      <c r="S7568" s="11"/>
    </row>
    <row r="7569" spans="1:19" s="9" customFormat="1" x14ac:dyDescent="0.25">
      <c r="A7569" s="10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  <c r="Q7569" s="11"/>
      <c r="R7569" s="11"/>
      <c r="S7569" s="11"/>
    </row>
    <row r="7570" spans="1:19" s="9" customFormat="1" x14ac:dyDescent="0.25">
      <c r="A7570" s="10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  <c r="Q7570" s="11"/>
      <c r="R7570" s="11"/>
      <c r="S7570" s="11"/>
    </row>
    <row r="7571" spans="1:19" s="9" customFormat="1" x14ac:dyDescent="0.25">
      <c r="A7571" s="10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  <c r="Q7571" s="11"/>
      <c r="R7571" s="11"/>
      <c r="S7571" s="11"/>
    </row>
    <row r="7572" spans="1:19" s="9" customFormat="1" x14ac:dyDescent="0.25">
      <c r="A7572" s="10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  <c r="Q7572" s="11"/>
      <c r="R7572" s="11"/>
      <c r="S7572" s="11"/>
    </row>
    <row r="7573" spans="1:19" s="9" customFormat="1" x14ac:dyDescent="0.25">
      <c r="A7573" s="10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  <c r="Q7573" s="11"/>
      <c r="R7573" s="11"/>
      <c r="S7573" s="11"/>
    </row>
    <row r="7574" spans="1:19" s="9" customFormat="1" x14ac:dyDescent="0.25">
      <c r="A7574" s="10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  <c r="Q7574" s="11"/>
      <c r="R7574" s="11"/>
      <c r="S7574" s="11"/>
    </row>
    <row r="7575" spans="1:19" s="9" customFormat="1" x14ac:dyDescent="0.25">
      <c r="A7575" s="10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  <c r="Q7575" s="11"/>
      <c r="R7575" s="11"/>
      <c r="S7575" s="11"/>
    </row>
    <row r="7576" spans="1:19" s="9" customFormat="1" x14ac:dyDescent="0.25">
      <c r="A7576" s="10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  <c r="Q7576" s="11"/>
      <c r="R7576" s="11"/>
      <c r="S7576" s="11"/>
    </row>
    <row r="7577" spans="1:19" s="9" customFormat="1" x14ac:dyDescent="0.25">
      <c r="A7577" s="10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  <c r="Q7577" s="11"/>
      <c r="R7577" s="11"/>
      <c r="S7577" s="11"/>
    </row>
    <row r="7578" spans="1:19" s="9" customFormat="1" x14ac:dyDescent="0.25">
      <c r="A7578" s="10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  <c r="Q7578" s="11"/>
      <c r="R7578" s="11"/>
      <c r="S7578" s="11"/>
    </row>
    <row r="7579" spans="1:19" s="9" customFormat="1" x14ac:dyDescent="0.25">
      <c r="A7579" s="10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  <c r="Q7579" s="11"/>
      <c r="R7579" s="11"/>
      <c r="S7579" s="11"/>
    </row>
    <row r="7580" spans="1:19" s="9" customFormat="1" x14ac:dyDescent="0.25">
      <c r="A7580" s="10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  <c r="Q7580" s="11"/>
      <c r="R7580" s="11"/>
      <c r="S7580" s="11"/>
    </row>
    <row r="7581" spans="1:19" s="9" customFormat="1" x14ac:dyDescent="0.25">
      <c r="A7581" s="10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  <c r="Q7581" s="11"/>
      <c r="R7581" s="11"/>
      <c r="S7581" s="11"/>
    </row>
    <row r="7582" spans="1:19" s="9" customFormat="1" x14ac:dyDescent="0.25">
      <c r="A7582" s="10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  <c r="Q7582" s="11"/>
      <c r="R7582" s="11"/>
      <c r="S7582" s="11"/>
    </row>
    <row r="7583" spans="1:19" s="9" customFormat="1" x14ac:dyDescent="0.25">
      <c r="A7583" s="10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  <c r="Q7583" s="11"/>
      <c r="R7583" s="11"/>
      <c r="S7583" s="11"/>
    </row>
    <row r="7584" spans="1:19" s="9" customFormat="1" x14ac:dyDescent="0.25">
      <c r="A7584" s="10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  <c r="Q7584" s="11"/>
      <c r="R7584" s="11"/>
      <c r="S7584" s="11"/>
    </row>
    <row r="7585" spans="1:19" s="9" customFormat="1" x14ac:dyDescent="0.25">
      <c r="A7585" s="10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  <c r="Q7585" s="11"/>
      <c r="R7585" s="11"/>
      <c r="S7585" s="11"/>
    </row>
    <row r="7586" spans="1:19" s="9" customFormat="1" x14ac:dyDescent="0.25">
      <c r="A7586" s="10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  <c r="Q7586" s="11"/>
      <c r="R7586" s="11"/>
      <c r="S7586" s="11"/>
    </row>
    <row r="7587" spans="1:19" s="9" customFormat="1" x14ac:dyDescent="0.25">
      <c r="A7587" s="10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  <c r="Q7587" s="11"/>
      <c r="R7587" s="11"/>
      <c r="S7587" s="11"/>
    </row>
    <row r="7588" spans="1:19" s="9" customFormat="1" x14ac:dyDescent="0.25">
      <c r="A7588" s="10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  <c r="Q7588" s="11"/>
      <c r="R7588" s="11"/>
      <c r="S7588" s="11"/>
    </row>
    <row r="7589" spans="1:19" s="9" customFormat="1" x14ac:dyDescent="0.25">
      <c r="A7589" s="10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  <c r="Q7589" s="11"/>
      <c r="R7589" s="11"/>
      <c r="S7589" s="11"/>
    </row>
    <row r="7590" spans="1:19" s="9" customFormat="1" x14ac:dyDescent="0.25">
      <c r="A7590" s="10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  <c r="Q7590" s="11"/>
      <c r="R7590" s="11"/>
      <c r="S7590" s="11"/>
    </row>
    <row r="7591" spans="1:19" s="9" customFormat="1" x14ac:dyDescent="0.25">
      <c r="A7591" s="10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  <c r="Q7591" s="11"/>
      <c r="R7591" s="11"/>
      <c r="S7591" s="11"/>
    </row>
    <row r="7592" spans="1:19" s="9" customFormat="1" x14ac:dyDescent="0.25">
      <c r="A7592" s="10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  <c r="Q7592" s="11"/>
      <c r="R7592" s="11"/>
      <c r="S7592" s="11"/>
    </row>
    <row r="7593" spans="1:19" s="9" customFormat="1" x14ac:dyDescent="0.25">
      <c r="A7593" s="10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  <c r="Q7593" s="11"/>
      <c r="R7593" s="11"/>
      <c r="S7593" s="11"/>
    </row>
    <row r="7594" spans="1:19" s="9" customFormat="1" x14ac:dyDescent="0.25">
      <c r="A7594" s="10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  <c r="Q7594" s="11"/>
      <c r="R7594" s="11"/>
      <c r="S7594" s="11"/>
    </row>
    <row r="7595" spans="1:19" s="9" customFormat="1" x14ac:dyDescent="0.25">
      <c r="A7595" s="10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  <c r="Q7595" s="11"/>
      <c r="R7595" s="11"/>
      <c r="S7595" s="11"/>
    </row>
    <row r="7596" spans="1:19" s="9" customFormat="1" x14ac:dyDescent="0.25">
      <c r="A7596" s="10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  <c r="Q7596" s="11"/>
      <c r="R7596" s="11"/>
      <c r="S7596" s="11"/>
    </row>
    <row r="7597" spans="1:19" s="9" customFormat="1" x14ac:dyDescent="0.25">
      <c r="A7597" s="10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  <c r="Q7597" s="11"/>
      <c r="R7597" s="11"/>
      <c r="S7597" s="11"/>
    </row>
    <row r="7598" spans="1:19" s="9" customFormat="1" x14ac:dyDescent="0.25">
      <c r="A7598" s="10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  <c r="Q7598" s="11"/>
      <c r="R7598" s="11"/>
      <c r="S7598" s="11"/>
    </row>
    <row r="7599" spans="1:19" s="9" customFormat="1" x14ac:dyDescent="0.25">
      <c r="A7599" s="10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  <c r="Q7599" s="11"/>
      <c r="R7599" s="11"/>
      <c r="S7599" s="11"/>
    </row>
    <row r="7600" spans="1:19" s="9" customFormat="1" x14ac:dyDescent="0.25">
      <c r="A7600" s="10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  <c r="Q7600" s="11"/>
      <c r="R7600" s="11"/>
      <c r="S7600" s="11"/>
    </row>
    <row r="7601" spans="1:19" s="9" customFormat="1" x14ac:dyDescent="0.25">
      <c r="A7601" s="10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  <c r="Q7601" s="11"/>
      <c r="R7601" s="11"/>
      <c r="S7601" s="11"/>
    </row>
    <row r="7602" spans="1:19" s="9" customFormat="1" x14ac:dyDescent="0.25">
      <c r="A7602" s="10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  <c r="Q7602" s="11"/>
      <c r="R7602" s="11"/>
      <c r="S7602" s="11"/>
    </row>
    <row r="7603" spans="1:19" s="9" customFormat="1" x14ac:dyDescent="0.25">
      <c r="A7603" s="10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  <c r="Q7603" s="11"/>
      <c r="R7603" s="11"/>
      <c r="S7603" s="11"/>
    </row>
    <row r="7604" spans="1:19" s="9" customFormat="1" x14ac:dyDescent="0.25">
      <c r="A7604" s="10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  <c r="Q7604" s="11"/>
      <c r="R7604" s="11"/>
      <c r="S7604" s="11"/>
    </row>
    <row r="7605" spans="1:19" s="9" customFormat="1" x14ac:dyDescent="0.25">
      <c r="A7605" s="10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  <c r="Q7605" s="11"/>
      <c r="R7605" s="11"/>
      <c r="S7605" s="11"/>
    </row>
    <row r="7606" spans="1:19" s="9" customFormat="1" x14ac:dyDescent="0.25">
      <c r="A7606" s="10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  <c r="Q7606" s="11"/>
      <c r="R7606" s="11"/>
      <c r="S7606" s="11"/>
    </row>
    <row r="7607" spans="1:19" s="9" customFormat="1" x14ac:dyDescent="0.25">
      <c r="A7607" s="10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  <c r="Q7607" s="11"/>
      <c r="R7607" s="11"/>
      <c r="S7607" s="11"/>
    </row>
    <row r="7608" spans="1:19" s="9" customFormat="1" x14ac:dyDescent="0.25">
      <c r="A7608" s="10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  <c r="Q7608" s="11"/>
      <c r="R7608" s="11"/>
      <c r="S7608" s="11"/>
    </row>
    <row r="7609" spans="1:19" s="9" customFormat="1" x14ac:dyDescent="0.25">
      <c r="A7609" s="10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  <c r="Q7609" s="11"/>
      <c r="R7609" s="11"/>
      <c r="S7609" s="11"/>
    </row>
    <row r="7610" spans="1:19" s="9" customFormat="1" x14ac:dyDescent="0.25">
      <c r="A7610" s="10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  <c r="Q7610" s="11"/>
      <c r="R7610" s="11"/>
      <c r="S7610" s="11"/>
    </row>
    <row r="7611" spans="1:19" s="9" customFormat="1" x14ac:dyDescent="0.25">
      <c r="A7611" s="10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  <c r="Q7611" s="11"/>
      <c r="R7611" s="11"/>
      <c r="S7611" s="11"/>
    </row>
    <row r="7612" spans="1:19" s="9" customFormat="1" x14ac:dyDescent="0.25">
      <c r="A7612" s="10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  <c r="Q7612" s="11"/>
      <c r="R7612" s="11"/>
      <c r="S7612" s="11"/>
    </row>
    <row r="7613" spans="1:19" s="9" customFormat="1" x14ac:dyDescent="0.25">
      <c r="A7613" s="10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  <c r="Q7613" s="11"/>
      <c r="R7613" s="11"/>
      <c r="S7613" s="11"/>
    </row>
    <row r="7614" spans="1:19" s="9" customFormat="1" x14ac:dyDescent="0.25">
      <c r="A7614" s="10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  <c r="Q7614" s="11"/>
      <c r="R7614" s="11"/>
      <c r="S7614" s="11"/>
    </row>
    <row r="7615" spans="1:19" s="9" customFormat="1" x14ac:dyDescent="0.25">
      <c r="A7615" s="10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  <c r="Q7615" s="11"/>
      <c r="R7615" s="11"/>
      <c r="S7615" s="11"/>
    </row>
    <row r="7616" spans="1:19" s="9" customFormat="1" x14ac:dyDescent="0.25">
      <c r="A7616" s="10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  <c r="Q7616" s="11"/>
      <c r="R7616" s="11"/>
      <c r="S7616" s="11"/>
    </row>
    <row r="7617" spans="1:19" s="9" customFormat="1" x14ac:dyDescent="0.25">
      <c r="A7617" s="10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  <c r="Q7617" s="11"/>
      <c r="R7617" s="11"/>
      <c r="S7617" s="11"/>
    </row>
    <row r="7618" spans="1:19" s="9" customFormat="1" x14ac:dyDescent="0.25">
      <c r="A7618" s="10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  <c r="Q7618" s="11"/>
      <c r="R7618" s="11"/>
      <c r="S7618" s="11"/>
    </row>
    <row r="7619" spans="1:19" s="9" customFormat="1" x14ac:dyDescent="0.25">
      <c r="A7619" s="10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  <c r="Q7619" s="11"/>
      <c r="R7619" s="11"/>
      <c r="S7619" s="11"/>
    </row>
    <row r="7620" spans="1:19" s="9" customFormat="1" x14ac:dyDescent="0.25">
      <c r="A7620" s="10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  <c r="Q7620" s="11"/>
      <c r="R7620" s="11"/>
      <c r="S7620" s="11"/>
    </row>
    <row r="7621" spans="1:19" s="9" customFormat="1" x14ac:dyDescent="0.25">
      <c r="A7621" s="10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  <c r="Q7621" s="11"/>
      <c r="R7621" s="11"/>
      <c r="S7621" s="11"/>
    </row>
    <row r="7622" spans="1:19" s="9" customFormat="1" x14ac:dyDescent="0.25">
      <c r="A7622" s="10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  <c r="Q7622" s="11"/>
      <c r="R7622" s="11"/>
      <c r="S7622" s="11"/>
    </row>
    <row r="7623" spans="1:19" s="9" customFormat="1" x14ac:dyDescent="0.25">
      <c r="A7623" s="10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  <c r="Q7623" s="11"/>
      <c r="R7623" s="11"/>
      <c r="S7623" s="11"/>
    </row>
    <row r="7624" spans="1:19" s="9" customFormat="1" x14ac:dyDescent="0.25">
      <c r="A7624" s="10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  <c r="Q7624" s="11"/>
      <c r="R7624" s="11"/>
      <c r="S7624" s="11"/>
    </row>
    <row r="7625" spans="1:19" s="9" customFormat="1" x14ac:dyDescent="0.25">
      <c r="A7625" s="10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  <c r="Q7625" s="11"/>
      <c r="R7625" s="11"/>
      <c r="S7625" s="11"/>
    </row>
    <row r="7626" spans="1:19" s="9" customFormat="1" x14ac:dyDescent="0.25">
      <c r="A7626" s="10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  <c r="Q7626" s="11"/>
      <c r="R7626" s="11"/>
      <c r="S7626" s="11"/>
    </row>
    <row r="7627" spans="1:19" s="9" customFormat="1" x14ac:dyDescent="0.25">
      <c r="A7627" s="10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  <c r="Q7627" s="11"/>
      <c r="R7627" s="11"/>
      <c r="S7627" s="11"/>
    </row>
    <row r="7628" spans="1:19" s="9" customFormat="1" x14ac:dyDescent="0.25">
      <c r="A7628" s="10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  <c r="Q7628" s="11"/>
      <c r="R7628" s="11"/>
      <c r="S7628" s="11"/>
    </row>
    <row r="7629" spans="1:19" s="9" customFormat="1" x14ac:dyDescent="0.25">
      <c r="A7629" s="10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  <c r="Q7629" s="11"/>
      <c r="R7629" s="11"/>
      <c r="S7629" s="11"/>
    </row>
    <row r="7630" spans="1:19" s="9" customFormat="1" x14ac:dyDescent="0.25">
      <c r="A7630" s="10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  <c r="Q7630" s="11"/>
      <c r="R7630" s="11"/>
      <c r="S7630" s="11"/>
    </row>
    <row r="7631" spans="1:19" s="9" customFormat="1" x14ac:dyDescent="0.25">
      <c r="A7631" s="10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  <c r="Q7631" s="11"/>
      <c r="R7631" s="11"/>
      <c r="S7631" s="11"/>
    </row>
    <row r="7632" spans="1:19" s="9" customFormat="1" x14ac:dyDescent="0.25">
      <c r="A7632" s="10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  <c r="Q7632" s="11"/>
      <c r="R7632" s="11"/>
      <c r="S7632" s="11"/>
    </row>
    <row r="7633" spans="1:19" s="9" customFormat="1" x14ac:dyDescent="0.25">
      <c r="A7633" s="10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  <c r="Q7633" s="11"/>
      <c r="R7633" s="11"/>
      <c r="S7633" s="11"/>
    </row>
    <row r="7634" spans="1:19" s="9" customFormat="1" x14ac:dyDescent="0.25">
      <c r="A7634" s="10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  <c r="Q7634" s="11"/>
      <c r="R7634" s="11"/>
      <c r="S7634" s="11"/>
    </row>
    <row r="7635" spans="1:19" s="9" customFormat="1" x14ac:dyDescent="0.25">
      <c r="A7635" s="10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  <c r="Q7635" s="11"/>
      <c r="R7635" s="11"/>
      <c r="S7635" s="11"/>
    </row>
    <row r="7636" spans="1:19" s="9" customFormat="1" x14ac:dyDescent="0.25">
      <c r="A7636" s="10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  <c r="Q7636" s="11"/>
      <c r="R7636" s="11"/>
      <c r="S7636" s="11"/>
    </row>
    <row r="7637" spans="1:19" s="9" customFormat="1" x14ac:dyDescent="0.25">
      <c r="A7637" s="10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  <c r="Q7637" s="11"/>
      <c r="R7637" s="11"/>
      <c r="S7637" s="11"/>
    </row>
    <row r="7638" spans="1:19" s="9" customFormat="1" x14ac:dyDescent="0.25">
      <c r="A7638" s="10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  <c r="Q7638" s="11"/>
      <c r="R7638" s="11"/>
      <c r="S7638" s="11"/>
    </row>
    <row r="7639" spans="1:19" s="9" customFormat="1" x14ac:dyDescent="0.25">
      <c r="A7639" s="10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  <c r="Q7639" s="11"/>
      <c r="R7639" s="11"/>
      <c r="S7639" s="11"/>
    </row>
    <row r="7640" spans="1:19" s="9" customFormat="1" x14ac:dyDescent="0.25">
      <c r="A7640" s="10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  <c r="Q7640" s="11"/>
      <c r="R7640" s="11"/>
      <c r="S7640" s="11"/>
    </row>
    <row r="7641" spans="1:19" s="9" customFormat="1" x14ac:dyDescent="0.25">
      <c r="A7641" s="10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  <c r="Q7641" s="11"/>
      <c r="R7641" s="11"/>
      <c r="S7641" s="11"/>
    </row>
    <row r="7642" spans="1:19" s="9" customFormat="1" x14ac:dyDescent="0.25">
      <c r="A7642" s="10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  <c r="Q7642" s="11"/>
      <c r="R7642" s="11"/>
      <c r="S7642" s="11"/>
    </row>
    <row r="7643" spans="1:19" s="9" customFormat="1" x14ac:dyDescent="0.25">
      <c r="A7643" s="10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  <c r="Q7643" s="11"/>
      <c r="R7643" s="11"/>
      <c r="S7643" s="11"/>
    </row>
    <row r="7644" spans="1:19" s="9" customFormat="1" x14ac:dyDescent="0.25">
      <c r="A7644" s="10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  <c r="Q7644" s="11"/>
      <c r="R7644" s="11"/>
      <c r="S7644" s="11"/>
    </row>
    <row r="7645" spans="1:19" s="9" customFormat="1" x14ac:dyDescent="0.25">
      <c r="A7645" s="10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  <c r="Q7645" s="11"/>
      <c r="R7645" s="11"/>
      <c r="S7645" s="11"/>
    </row>
    <row r="7646" spans="1:19" s="9" customFormat="1" x14ac:dyDescent="0.25">
      <c r="A7646" s="10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  <c r="Q7646" s="11"/>
      <c r="R7646" s="11"/>
      <c r="S7646" s="11"/>
    </row>
    <row r="7647" spans="1:19" s="9" customFormat="1" x14ac:dyDescent="0.25">
      <c r="A7647" s="10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  <c r="Q7647" s="11"/>
      <c r="R7647" s="11"/>
      <c r="S7647" s="11"/>
    </row>
    <row r="7648" spans="1:19" s="9" customFormat="1" x14ac:dyDescent="0.25">
      <c r="A7648" s="10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  <c r="Q7648" s="11"/>
      <c r="R7648" s="11"/>
      <c r="S7648" s="11"/>
    </row>
    <row r="7649" spans="1:19" s="9" customFormat="1" x14ac:dyDescent="0.25">
      <c r="A7649" s="10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  <c r="Q7649" s="11"/>
      <c r="R7649" s="11"/>
      <c r="S7649" s="11"/>
    </row>
    <row r="7650" spans="1:19" s="9" customFormat="1" x14ac:dyDescent="0.25">
      <c r="A7650" s="10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  <c r="Q7650" s="11"/>
      <c r="R7650" s="11"/>
      <c r="S7650" s="11"/>
    </row>
    <row r="7651" spans="1:19" s="9" customFormat="1" x14ac:dyDescent="0.25">
      <c r="A7651" s="10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  <c r="Q7651" s="11"/>
      <c r="R7651" s="11"/>
      <c r="S7651" s="11"/>
    </row>
    <row r="7652" spans="1:19" s="9" customFormat="1" x14ac:dyDescent="0.25">
      <c r="A7652" s="10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  <c r="Q7652" s="11"/>
      <c r="R7652" s="11"/>
      <c r="S7652" s="11"/>
    </row>
    <row r="7653" spans="1:19" s="9" customFormat="1" x14ac:dyDescent="0.25">
      <c r="A7653" s="10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  <c r="Q7653" s="11"/>
      <c r="R7653" s="11"/>
      <c r="S7653" s="11"/>
    </row>
    <row r="7654" spans="1:19" s="9" customFormat="1" x14ac:dyDescent="0.25">
      <c r="A7654" s="10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  <c r="Q7654" s="11"/>
      <c r="R7654" s="11"/>
      <c r="S7654" s="11"/>
    </row>
    <row r="7655" spans="1:19" s="9" customFormat="1" x14ac:dyDescent="0.25">
      <c r="A7655" s="10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  <c r="Q7655" s="11"/>
      <c r="R7655" s="11"/>
      <c r="S7655" s="11"/>
    </row>
    <row r="7656" spans="1:19" s="9" customFormat="1" x14ac:dyDescent="0.25">
      <c r="A7656" s="10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  <c r="Q7656" s="11"/>
      <c r="R7656" s="11"/>
      <c r="S7656" s="11"/>
    </row>
    <row r="7657" spans="1:19" s="9" customFormat="1" x14ac:dyDescent="0.25">
      <c r="A7657" s="10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  <c r="Q7657" s="11"/>
      <c r="R7657" s="11"/>
      <c r="S7657" s="11"/>
    </row>
    <row r="7658" spans="1:19" s="9" customFormat="1" x14ac:dyDescent="0.25">
      <c r="A7658" s="10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  <c r="Q7658" s="11"/>
      <c r="R7658" s="11"/>
      <c r="S7658" s="11"/>
    </row>
    <row r="7659" spans="1:19" s="9" customFormat="1" x14ac:dyDescent="0.25">
      <c r="A7659" s="10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  <c r="Q7659" s="11"/>
      <c r="R7659" s="11"/>
      <c r="S7659" s="11"/>
    </row>
    <row r="7660" spans="1:19" s="9" customFormat="1" x14ac:dyDescent="0.25">
      <c r="A7660" s="10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  <c r="Q7660" s="11"/>
      <c r="R7660" s="11"/>
      <c r="S7660" s="11"/>
    </row>
    <row r="7661" spans="1:19" s="9" customFormat="1" x14ac:dyDescent="0.25">
      <c r="A7661" s="10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  <c r="Q7661" s="11"/>
      <c r="R7661" s="11"/>
      <c r="S7661" s="11"/>
    </row>
    <row r="7662" spans="1:19" s="9" customFormat="1" x14ac:dyDescent="0.25">
      <c r="A7662" s="10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  <c r="Q7662" s="11"/>
      <c r="R7662" s="11"/>
      <c r="S7662" s="11"/>
    </row>
    <row r="7663" spans="1:19" s="9" customFormat="1" x14ac:dyDescent="0.25">
      <c r="A7663" s="10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  <c r="Q7663" s="11"/>
      <c r="R7663" s="11"/>
      <c r="S7663" s="11"/>
    </row>
    <row r="7664" spans="1:19" s="9" customFormat="1" x14ac:dyDescent="0.25">
      <c r="A7664" s="10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  <c r="Q7664" s="11"/>
      <c r="R7664" s="11"/>
      <c r="S7664" s="11"/>
    </row>
    <row r="7665" spans="1:19" s="9" customFormat="1" x14ac:dyDescent="0.25">
      <c r="A7665" s="10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  <c r="Q7665" s="11"/>
      <c r="R7665" s="11"/>
      <c r="S7665" s="11"/>
    </row>
    <row r="7666" spans="1:19" s="9" customFormat="1" x14ac:dyDescent="0.25">
      <c r="A7666" s="10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  <c r="Q7666" s="11"/>
      <c r="R7666" s="11"/>
      <c r="S7666" s="11"/>
    </row>
    <row r="7667" spans="1:19" s="9" customFormat="1" x14ac:dyDescent="0.25">
      <c r="A7667" s="10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  <c r="Q7667" s="11"/>
      <c r="R7667" s="11"/>
      <c r="S7667" s="11"/>
    </row>
    <row r="7668" spans="1:19" s="9" customFormat="1" x14ac:dyDescent="0.25">
      <c r="A7668" s="10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  <c r="Q7668" s="11"/>
      <c r="R7668" s="11"/>
      <c r="S7668" s="11"/>
    </row>
    <row r="7669" spans="1:19" s="9" customFormat="1" x14ac:dyDescent="0.25">
      <c r="A7669" s="10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  <c r="Q7669" s="11"/>
      <c r="R7669" s="11"/>
      <c r="S7669" s="11"/>
    </row>
    <row r="7670" spans="1:19" s="9" customFormat="1" x14ac:dyDescent="0.25">
      <c r="A7670" s="10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  <c r="Q7670" s="11"/>
      <c r="R7670" s="11"/>
      <c r="S7670" s="11"/>
    </row>
    <row r="7671" spans="1:19" s="9" customFormat="1" x14ac:dyDescent="0.25">
      <c r="A7671" s="10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  <c r="Q7671" s="11"/>
      <c r="R7671" s="11"/>
      <c r="S7671" s="11"/>
    </row>
    <row r="7672" spans="1:19" s="9" customFormat="1" x14ac:dyDescent="0.25">
      <c r="A7672" s="10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  <c r="Q7672" s="11"/>
      <c r="R7672" s="11"/>
      <c r="S7672" s="11"/>
    </row>
    <row r="7673" spans="1:19" s="9" customFormat="1" x14ac:dyDescent="0.25">
      <c r="A7673" s="10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  <c r="Q7673" s="11"/>
      <c r="R7673" s="11"/>
      <c r="S7673" s="11"/>
    </row>
    <row r="7674" spans="1:19" s="9" customFormat="1" x14ac:dyDescent="0.25">
      <c r="A7674" s="10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  <c r="Q7674" s="11"/>
      <c r="R7674" s="11"/>
      <c r="S7674" s="11"/>
    </row>
    <row r="7675" spans="1:19" s="9" customFormat="1" x14ac:dyDescent="0.25">
      <c r="A7675" s="10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  <c r="Q7675" s="11"/>
      <c r="R7675" s="11"/>
      <c r="S7675" s="11"/>
    </row>
    <row r="7676" spans="1:19" s="9" customFormat="1" x14ac:dyDescent="0.25">
      <c r="A7676" s="10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  <c r="Q7676" s="11"/>
      <c r="R7676" s="11"/>
      <c r="S7676" s="11"/>
    </row>
    <row r="7677" spans="1:19" s="9" customFormat="1" x14ac:dyDescent="0.25">
      <c r="A7677" s="10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  <c r="Q7677" s="11"/>
      <c r="R7677" s="11"/>
      <c r="S7677" s="11"/>
    </row>
    <row r="7678" spans="1:19" s="9" customFormat="1" x14ac:dyDescent="0.25">
      <c r="A7678" s="10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  <c r="Q7678" s="11"/>
      <c r="R7678" s="11"/>
      <c r="S7678" s="11"/>
    </row>
    <row r="7679" spans="1:19" s="9" customFormat="1" x14ac:dyDescent="0.25">
      <c r="A7679" s="10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  <c r="Q7679" s="11"/>
      <c r="R7679" s="11"/>
      <c r="S7679" s="11"/>
    </row>
    <row r="7680" spans="1:19" s="9" customFormat="1" x14ac:dyDescent="0.25">
      <c r="A7680" s="10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  <c r="Q7680" s="11"/>
      <c r="R7680" s="11"/>
      <c r="S7680" s="11"/>
    </row>
    <row r="7681" spans="1:19" s="9" customFormat="1" x14ac:dyDescent="0.25">
      <c r="A7681" s="10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  <c r="Q7681" s="11"/>
      <c r="R7681" s="11"/>
      <c r="S7681" s="11"/>
    </row>
    <row r="7682" spans="1:19" s="9" customFormat="1" x14ac:dyDescent="0.25">
      <c r="A7682" s="10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  <c r="Q7682" s="11"/>
      <c r="R7682" s="11"/>
      <c r="S7682" s="11"/>
    </row>
    <row r="7683" spans="1:19" s="9" customFormat="1" x14ac:dyDescent="0.25">
      <c r="A7683" s="10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  <c r="Q7683" s="11"/>
      <c r="R7683" s="11"/>
      <c r="S7683" s="11"/>
    </row>
    <row r="7684" spans="1:19" s="9" customFormat="1" x14ac:dyDescent="0.25">
      <c r="A7684" s="10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  <c r="Q7684" s="11"/>
      <c r="R7684" s="11"/>
      <c r="S7684" s="11"/>
    </row>
    <row r="7685" spans="1:19" s="9" customFormat="1" x14ac:dyDescent="0.25">
      <c r="A7685" s="10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  <c r="Q7685" s="11"/>
      <c r="R7685" s="11"/>
      <c r="S7685" s="11"/>
    </row>
    <row r="7686" spans="1:19" s="9" customFormat="1" x14ac:dyDescent="0.25">
      <c r="A7686" s="10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  <c r="Q7686" s="11"/>
      <c r="R7686" s="11"/>
      <c r="S7686" s="11"/>
    </row>
    <row r="7687" spans="1:19" s="9" customFormat="1" x14ac:dyDescent="0.25">
      <c r="A7687" s="10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  <c r="Q7687" s="11"/>
      <c r="R7687" s="11"/>
      <c r="S7687" s="11"/>
    </row>
    <row r="7688" spans="1:19" s="9" customFormat="1" x14ac:dyDescent="0.25">
      <c r="A7688" s="10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  <c r="Q7688" s="11"/>
      <c r="R7688" s="11"/>
      <c r="S7688" s="11"/>
    </row>
    <row r="7689" spans="1:19" s="9" customFormat="1" x14ac:dyDescent="0.25">
      <c r="A7689" s="10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  <c r="Q7689" s="11"/>
      <c r="R7689" s="11"/>
      <c r="S7689" s="11"/>
    </row>
    <row r="7690" spans="1:19" s="9" customFormat="1" x14ac:dyDescent="0.25">
      <c r="A7690" s="10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  <c r="Q7690" s="11"/>
      <c r="R7690" s="11"/>
      <c r="S7690" s="11"/>
    </row>
    <row r="7691" spans="1:19" s="9" customFormat="1" x14ac:dyDescent="0.25">
      <c r="A7691" s="10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  <c r="Q7691" s="11"/>
      <c r="R7691" s="11"/>
      <c r="S7691" s="11"/>
    </row>
    <row r="7692" spans="1:19" s="9" customFormat="1" x14ac:dyDescent="0.25">
      <c r="A7692" s="10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  <c r="Q7692" s="11"/>
      <c r="R7692" s="11"/>
      <c r="S7692" s="11"/>
    </row>
    <row r="7693" spans="1:19" s="9" customFormat="1" x14ac:dyDescent="0.25">
      <c r="A7693" s="10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  <c r="Q7693" s="11"/>
      <c r="R7693" s="11"/>
      <c r="S7693" s="11"/>
    </row>
    <row r="7694" spans="1:19" s="9" customFormat="1" x14ac:dyDescent="0.25">
      <c r="A7694" s="10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  <c r="Q7694" s="11"/>
      <c r="R7694" s="11"/>
      <c r="S7694" s="11"/>
    </row>
    <row r="7695" spans="1:19" s="9" customFormat="1" x14ac:dyDescent="0.25">
      <c r="A7695" s="10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  <c r="Q7695" s="11"/>
      <c r="R7695" s="11"/>
      <c r="S7695" s="11"/>
    </row>
    <row r="7696" spans="1:19" s="9" customFormat="1" x14ac:dyDescent="0.25">
      <c r="A7696" s="10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  <c r="Q7696" s="11"/>
      <c r="R7696" s="11"/>
      <c r="S7696" s="11"/>
    </row>
    <row r="7697" spans="1:19" s="9" customFormat="1" x14ac:dyDescent="0.25">
      <c r="A7697" s="10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  <c r="Q7697" s="11"/>
      <c r="R7697" s="11"/>
      <c r="S7697" s="11"/>
    </row>
    <row r="7698" spans="1:19" s="9" customFormat="1" x14ac:dyDescent="0.25">
      <c r="A7698" s="10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  <c r="Q7698" s="11"/>
      <c r="R7698" s="11"/>
      <c r="S7698" s="11"/>
    </row>
    <row r="7699" spans="1:19" s="9" customFormat="1" x14ac:dyDescent="0.25">
      <c r="A7699" s="10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  <c r="Q7699" s="11"/>
      <c r="R7699" s="11"/>
      <c r="S7699" s="11"/>
    </row>
    <row r="7700" spans="1:19" s="9" customFormat="1" x14ac:dyDescent="0.25">
      <c r="A7700" s="10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  <c r="Q7700" s="11"/>
      <c r="R7700" s="11"/>
      <c r="S7700" s="11"/>
    </row>
    <row r="7701" spans="1:19" s="9" customFormat="1" x14ac:dyDescent="0.25">
      <c r="A7701" s="10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  <c r="Q7701" s="11"/>
      <c r="R7701" s="11"/>
      <c r="S7701" s="11"/>
    </row>
    <row r="7702" spans="1:19" s="9" customFormat="1" x14ac:dyDescent="0.25">
      <c r="A7702" s="10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  <c r="Q7702" s="11"/>
      <c r="R7702" s="11"/>
      <c r="S7702" s="11"/>
    </row>
    <row r="7703" spans="1:19" s="9" customFormat="1" x14ac:dyDescent="0.25">
      <c r="A7703" s="10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  <c r="Q7703" s="11"/>
      <c r="R7703" s="11"/>
      <c r="S7703" s="11"/>
    </row>
    <row r="7704" spans="1:19" s="9" customFormat="1" x14ac:dyDescent="0.25">
      <c r="A7704" s="10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  <c r="Q7704" s="11"/>
      <c r="R7704" s="11"/>
      <c r="S7704" s="11"/>
    </row>
    <row r="7705" spans="1:19" s="9" customFormat="1" x14ac:dyDescent="0.25">
      <c r="A7705" s="10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  <c r="Q7705" s="11"/>
      <c r="R7705" s="11"/>
      <c r="S7705" s="11"/>
    </row>
    <row r="7706" spans="1:19" s="9" customFormat="1" x14ac:dyDescent="0.25">
      <c r="A7706" s="10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  <c r="Q7706" s="11"/>
      <c r="R7706" s="11"/>
      <c r="S7706" s="11"/>
    </row>
    <row r="7707" spans="1:19" s="9" customFormat="1" x14ac:dyDescent="0.25">
      <c r="A7707" s="10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  <c r="Q7707" s="11"/>
      <c r="R7707" s="11"/>
      <c r="S7707" s="11"/>
    </row>
    <row r="7708" spans="1:19" s="9" customFormat="1" x14ac:dyDescent="0.25">
      <c r="A7708" s="10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  <c r="Q7708" s="11"/>
      <c r="R7708" s="11"/>
      <c r="S7708" s="11"/>
    </row>
    <row r="7709" spans="1:19" s="9" customFormat="1" x14ac:dyDescent="0.25">
      <c r="A7709" s="10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  <c r="Q7709" s="11"/>
      <c r="R7709" s="11"/>
      <c r="S7709" s="11"/>
    </row>
    <row r="7710" spans="1:19" s="9" customFormat="1" x14ac:dyDescent="0.25">
      <c r="A7710" s="10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  <c r="Q7710" s="11"/>
      <c r="R7710" s="11"/>
      <c r="S7710" s="11"/>
    </row>
    <row r="7711" spans="1:19" s="9" customFormat="1" x14ac:dyDescent="0.25">
      <c r="A7711" s="10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  <c r="Q7711" s="11"/>
      <c r="R7711" s="11"/>
      <c r="S7711" s="11"/>
    </row>
    <row r="7712" spans="1:19" s="9" customFormat="1" x14ac:dyDescent="0.25">
      <c r="A7712" s="10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  <c r="Q7712" s="11"/>
      <c r="R7712" s="11"/>
      <c r="S7712" s="11"/>
    </row>
    <row r="7713" spans="1:19" s="9" customFormat="1" x14ac:dyDescent="0.25">
      <c r="A7713" s="10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  <c r="Q7713" s="11"/>
      <c r="R7713" s="11"/>
      <c r="S7713" s="11"/>
    </row>
    <row r="7714" spans="1:19" s="9" customFormat="1" x14ac:dyDescent="0.25">
      <c r="A7714" s="10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  <c r="Q7714" s="11"/>
      <c r="R7714" s="11"/>
      <c r="S7714" s="11"/>
    </row>
    <row r="7715" spans="1:19" s="9" customFormat="1" x14ac:dyDescent="0.25">
      <c r="A7715" s="10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  <c r="Q7715" s="11"/>
      <c r="R7715" s="11"/>
      <c r="S7715" s="11"/>
    </row>
    <row r="7716" spans="1:19" s="9" customFormat="1" x14ac:dyDescent="0.25">
      <c r="A7716" s="10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  <c r="Q7716" s="11"/>
      <c r="R7716" s="11"/>
      <c r="S7716" s="11"/>
    </row>
    <row r="7717" spans="1:19" s="9" customFormat="1" x14ac:dyDescent="0.25">
      <c r="A7717" s="10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  <c r="Q7717" s="11"/>
      <c r="R7717" s="11"/>
      <c r="S7717" s="11"/>
    </row>
    <row r="7718" spans="1:19" s="9" customFormat="1" x14ac:dyDescent="0.25">
      <c r="A7718" s="10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  <c r="Q7718" s="11"/>
      <c r="R7718" s="11"/>
      <c r="S7718" s="11"/>
    </row>
    <row r="7719" spans="1:19" s="9" customFormat="1" x14ac:dyDescent="0.25">
      <c r="A7719" s="10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  <c r="Q7719" s="11"/>
      <c r="R7719" s="11"/>
      <c r="S7719" s="11"/>
    </row>
    <row r="7720" spans="1:19" s="9" customFormat="1" x14ac:dyDescent="0.25">
      <c r="A7720" s="10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  <c r="Q7720" s="11"/>
      <c r="R7720" s="11"/>
      <c r="S7720" s="11"/>
    </row>
    <row r="7721" spans="1:19" s="9" customFormat="1" x14ac:dyDescent="0.25">
      <c r="A7721" s="10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  <c r="Q7721" s="11"/>
      <c r="R7721" s="11"/>
      <c r="S7721" s="11"/>
    </row>
    <row r="7722" spans="1:19" s="9" customFormat="1" x14ac:dyDescent="0.25">
      <c r="A7722" s="10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  <c r="Q7722" s="11"/>
      <c r="R7722" s="11"/>
      <c r="S7722" s="11"/>
    </row>
    <row r="7723" spans="1:19" s="9" customFormat="1" x14ac:dyDescent="0.25">
      <c r="A7723" s="10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  <c r="Q7723" s="11"/>
      <c r="R7723" s="11"/>
      <c r="S7723" s="11"/>
    </row>
    <row r="7724" spans="1:19" s="9" customFormat="1" x14ac:dyDescent="0.25">
      <c r="A7724" s="10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  <c r="Q7724" s="11"/>
      <c r="R7724" s="11"/>
      <c r="S7724" s="11"/>
    </row>
    <row r="7725" spans="1:19" s="9" customFormat="1" x14ac:dyDescent="0.25">
      <c r="A7725" s="10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  <c r="Q7725" s="11"/>
      <c r="R7725" s="11"/>
      <c r="S7725" s="11"/>
    </row>
    <row r="7726" spans="1:19" s="9" customFormat="1" x14ac:dyDescent="0.25">
      <c r="A7726" s="10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  <c r="Q7726" s="11"/>
      <c r="R7726" s="11"/>
      <c r="S7726" s="11"/>
    </row>
    <row r="7727" spans="1:19" s="9" customFormat="1" x14ac:dyDescent="0.25">
      <c r="A7727" s="10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  <c r="Q7727" s="11"/>
      <c r="R7727" s="11"/>
      <c r="S7727" s="11"/>
    </row>
    <row r="7728" spans="1:19" s="9" customFormat="1" x14ac:dyDescent="0.25">
      <c r="A7728" s="10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  <c r="Q7728" s="11"/>
      <c r="R7728" s="11"/>
      <c r="S7728" s="11"/>
    </row>
    <row r="7729" spans="1:19" s="9" customFormat="1" x14ac:dyDescent="0.25">
      <c r="A7729" s="10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  <c r="Q7729" s="11"/>
      <c r="R7729" s="11"/>
      <c r="S7729" s="11"/>
    </row>
    <row r="7730" spans="1:19" s="9" customFormat="1" x14ac:dyDescent="0.25">
      <c r="A7730" s="10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  <c r="Q7730" s="11"/>
      <c r="R7730" s="11"/>
      <c r="S7730" s="11"/>
    </row>
    <row r="7731" spans="1:19" s="9" customFormat="1" x14ac:dyDescent="0.25">
      <c r="A7731" s="10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  <c r="Q7731" s="11"/>
      <c r="R7731" s="11"/>
      <c r="S7731" s="11"/>
    </row>
    <row r="7732" spans="1:19" s="9" customFormat="1" x14ac:dyDescent="0.25">
      <c r="A7732" s="10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  <c r="Q7732" s="11"/>
      <c r="R7732" s="11"/>
      <c r="S7732" s="11"/>
    </row>
    <row r="7733" spans="1:19" s="9" customFormat="1" x14ac:dyDescent="0.25">
      <c r="A7733" s="10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  <c r="Q7733" s="11"/>
      <c r="R7733" s="11"/>
      <c r="S7733" s="11"/>
    </row>
    <row r="7734" spans="1:19" s="9" customFormat="1" x14ac:dyDescent="0.25">
      <c r="A7734" s="10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  <c r="Q7734" s="11"/>
      <c r="R7734" s="11"/>
      <c r="S7734" s="11"/>
    </row>
    <row r="7735" spans="1:19" s="9" customFormat="1" x14ac:dyDescent="0.25">
      <c r="A7735" s="10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  <c r="Q7735" s="11"/>
      <c r="R7735" s="11"/>
      <c r="S7735" s="11"/>
    </row>
    <row r="7736" spans="1:19" s="9" customFormat="1" x14ac:dyDescent="0.25">
      <c r="A7736" s="10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  <c r="Q7736" s="11"/>
      <c r="R7736" s="11"/>
      <c r="S7736" s="11"/>
    </row>
    <row r="7737" spans="1:19" s="9" customFormat="1" x14ac:dyDescent="0.25">
      <c r="A7737" s="10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  <c r="Q7737" s="11"/>
      <c r="R7737" s="11"/>
      <c r="S7737" s="11"/>
    </row>
    <row r="7738" spans="1:19" s="9" customFormat="1" x14ac:dyDescent="0.25">
      <c r="A7738" s="10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  <c r="Q7738" s="11"/>
      <c r="R7738" s="11"/>
      <c r="S7738" s="11"/>
    </row>
    <row r="7739" spans="1:19" s="9" customFormat="1" x14ac:dyDescent="0.25">
      <c r="A7739" s="10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  <c r="Q7739" s="11"/>
      <c r="R7739" s="11"/>
      <c r="S7739" s="11"/>
    </row>
    <row r="7740" spans="1:19" s="9" customFormat="1" x14ac:dyDescent="0.25">
      <c r="A7740" s="10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  <c r="Q7740" s="11"/>
      <c r="R7740" s="11"/>
      <c r="S7740" s="11"/>
    </row>
    <row r="7741" spans="1:19" s="9" customFormat="1" x14ac:dyDescent="0.25">
      <c r="A7741" s="10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  <c r="Q7741" s="11"/>
      <c r="R7741" s="11"/>
      <c r="S7741" s="11"/>
    </row>
    <row r="7742" spans="1:19" s="9" customFormat="1" x14ac:dyDescent="0.25">
      <c r="A7742" s="10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  <c r="Q7742" s="11"/>
      <c r="R7742" s="11"/>
      <c r="S7742" s="11"/>
    </row>
    <row r="7743" spans="1:19" s="9" customFormat="1" x14ac:dyDescent="0.25">
      <c r="A7743" s="10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  <c r="Q7743" s="11"/>
      <c r="R7743" s="11"/>
      <c r="S7743" s="11"/>
    </row>
    <row r="7744" spans="1:19" s="9" customFormat="1" x14ac:dyDescent="0.25">
      <c r="A7744" s="10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  <c r="Q7744" s="11"/>
      <c r="R7744" s="11"/>
      <c r="S7744" s="11"/>
    </row>
    <row r="7745" spans="1:19" s="9" customFormat="1" x14ac:dyDescent="0.25">
      <c r="A7745" s="10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  <c r="Q7745" s="11"/>
      <c r="R7745" s="11"/>
      <c r="S7745" s="11"/>
    </row>
    <row r="7746" spans="1:19" s="9" customFormat="1" x14ac:dyDescent="0.25">
      <c r="A7746" s="10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  <c r="Q7746" s="11"/>
      <c r="R7746" s="11"/>
      <c r="S7746" s="11"/>
    </row>
    <row r="7747" spans="1:19" s="9" customFormat="1" x14ac:dyDescent="0.25">
      <c r="A7747" s="10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  <c r="Q7747" s="11"/>
      <c r="R7747" s="11"/>
      <c r="S7747" s="11"/>
    </row>
    <row r="7748" spans="1:19" s="9" customFormat="1" x14ac:dyDescent="0.25">
      <c r="A7748" s="10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  <c r="Q7748" s="11"/>
      <c r="R7748" s="11"/>
      <c r="S7748" s="11"/>
    </row>
    <row r="7749" spans="1:19" s="9" customFormat="1" x14ac:dyDescent="0.25">
      <c r="A7749" s="10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  <c r="Q7749" s="11"/>
      <c r="R7749" s="11"/>
      <c r="S7749" s="11"/>
    </row>
    <row r="7750" spans="1:19" s="9" customFormat="1" x14ac:dyDescent="0.25">
      <c r="A7750" s="10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  <c r="Q7750" s="11"/>
      <c r="R7750" s="11"/>
      <c r="S7750" s="11"/>
    </row>
    <row r="7751" spans="1:19" s="9" customFormat="1" x14ac:dyDescent="0.25">
      <c r="A7751" s="10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  <c r="Q7751" s="11"/>
      <c r="R7751" s="11"/>
      <c r="S7751" s="11"/>
    </row>
    <row r="7752" spans="1:19" s="9" customFormat="1" x14ac:dyDescent="0.25">
      <c r="A7752" s="10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  <c r="Q7752" s="11"/>
      <c r="R7752" s="11"/>
      <c r="S7752" s="11"/>
    </row>
    <row r="7753" spans="1:19" s="9" customFormat="1" x14ac:dyDescent="0.25">
      <c r="A7753" s="10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  <c r="Q7753" s="11"/>
      <c r="R7753" s="11"/>
      <c r="S7753" s="11"/>
    </row>
    <row r="7754" spans="1:19" s="9" customFormat="1" x14ac:dyDescent="0.25">
      <c r="A7754" s="10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  <c r="Q7754" s="11"/>
      <c r="R7754" s="11"/>
      <c r="S7754" s="11"/>
    </row>
    <row r="7755" spans="1:19" s="9" customFormat="1" x14ac:dyDescent="0.25">
      <c r="A7755" s="10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  <c r="Q7755" s="11"/>
      <c r="R7755" s="11"/>
      <c r="S7755" s="11"/>
    </row>
    <row r="7756" spans="1:19" s="9" customFormat="1" x14ac:dyDescent="0.25">
      <c r="A7756" s="10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  <c r="Q7756" s="11"/>
      <c r="R7756" s="11"/>
      <c r="S7756" s="11"/>
    </row>
    <row r="7757" spans="1:19" s="9" customFormat="1" x14ac:dyDescent="0.25">
      <c r="A7757" s="10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  <c r="Q7757" s="11"/>
      <c r="R7757" s="11"/>
      <c r="S7757" s="11"/>
    </row>
    <row r="7758" spans="1:19" s="9" customFormat="1" x14ac:dyDescent="0.25">
      <c r="A7758" s="10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  <c r="Q7758" s="11"/>
      <c r="R7758" s="11"/>
      <c r="S7758" s="11"/>
    </row>
    <row r="7759" spans="1:19" s="9" customFormat="1" x14ac:dyDescent="0.25">
      <c r="A7759" s="10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  <c r="Q7759" s="11"/>
      <c r="R7759" s="11"/>
      <c r="S7759" s="11"/>
    </row>
    <row r="7760" spans="1:19" s="9" customFormat="1" x14ac:dyDescent="0.25">
      <c r="A7760" s="10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  <c r="Q7760" s="11"/>
      <c r="R7760" s="11"/>
      <c r="S7760" s="11"/>
    </row>
    <row r="7761" spans="1:19" s="9" customFormat="1" x14ac:dyDescent="0.25">
      <c r="A7761" s="10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  <c r="Q7761" s="11"/>
      <c r="R7761" s="11"/>
      <c r="S7761" s="11"/>
    </row>
    <row r="7762" spans="1:19" s="9" customFormat="1" x14ac:dyDescent="0.25">
      <c r="A7762" s="10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  <c r="Q7762" s="11"/>
      <c r="R7762" s="11"/>
      <c r="S7762" s="11"/>
    </row>
    <row r="7763" spans="1:19" s="9" customFormat="1" x14ac:dyDescent="0.25">
      <c r="A7763" s="10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  <c r="Q7763" s="11"/>
      <c r="R7763" s="11"/>
      <c r="S7763" s="11"/>
    </row>
    <row r="7764" spans="1:19" s="9" customFormat="1" x14ac:dyDescent="0.25">
      <c r="A7764" s="10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  <c r="Q7764" s="11"/>
      <c r="R7764" s="11"/>
      <c r="S7764" s="11"/>
    </row>
    <row r="7765" spans="1:19" s="9" customFormat="1" x14ac:dyDescent="0.25">
      <c r="A7765" s="10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  <c r="Q7765" s="11"/>
      <c r="R7765" s="11"/>
      <c r="S7765" s="11"/>
    </row>
    <row r="7766" spans="1:19" s="9" customFormat="1" x14ac:dyDescent="0.25">
      <c r="A7766" s="10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  <c r="Q7766" s="11"/>
      <c r="R7766" s="11"/>
      <c r="S7766" s="11"/>
    </row>
    <row r="7767" spans="1:19" s="9" customFormat="1" x14ac:dyDescent="0.25">
      <c r="A7767" s="10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  <c r="Q7767" s="11"/>
      <c r="R7767" s="11"/>
      <c r="S7767" s="11"/>
    </row>
    <row r="7768" spans="1:19" s="9" customFormat="1" x14ac:dyDescent="0.25">
      <c r="A7768" s="10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  <c r="Q7768" s="11"/>
      <c r="R7768" s="11"/>
      <c r="S7768" s="11"/>
    </row>
    <row r="7769" spans="1:19" s="9" customFormat="1" x14ac:dyDescent="0.25">
      <c r="A7769" s="10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  <c r="Q7769" s="11"/>
      <c r="R7769" s="11"/>
      <c r="S7769" s="11"/>
    </row>
    <row r="7770" spans="1:19" s="9" customFormat="1" x14ac:dyDescent="0.25">
      <c r="A7770" s="10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  <c r="Q7770" s="11"/>
      <c r="R7770" s="11"/>
      <c r="S7770" s="11"/>
    </row>
    <row r="7771" spans="1:19" s="9" customFormat="1" x14ac:dyDescent="0.25">
      <c r="A7771" s="10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  <c r="Q7771" s="11"/>
      <c r="R7771" s="11"/>
      <c r="S7771" s="11"/>
    </row>
    <row r="7772" spans="1:19" s="9" customFormat="1" x14ac:dyDescent="0.25">
      <c r="A7772" s="10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  <c r="Q7772" s="11"/>
      <c r="R7772" s="11"/>
      <c r="S7772" s="11"/>
    </row>
    <row r="7773" spans="1:19" s="9" customFormat="1" x14ac:dyDescent="0.25">
      <c r="A7773" s="10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  <c r="Q7773" s="11"/>
      <c r="R7773" s="11"/>
      <c r="S7773" s="11"/>
    </row>
    <row r="7774" spans="1:19" s="9" customFormat="1" x14ac:dyDescent="0.25">
      <c r="A7774" s="10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  <c r="Q7774" s="11"/>
      <c r="R7774" s="11"/>
      <c r="S7774" s="11"/>
    </row>
    <row r="7775" spans="1:19" s="9" customFormat="1" x14ac:dyDescent="0.25">
      <c r="A7775" s="10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  <c r="Q7775" s="11"/>
      <c r="R7775" s="11"/>
      <c r="S7775" s="11"/>
    </row>
    <row r="7776" spans="1:19" s="9" customFormat="1" x14ac:dyDescent="0.25">
      <c r="A7776" s="10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  <c r="Q7776" s="11"/>
      <c r="R7776" s="11"/>
      <c r="S7776" s="11"/>
    </row>
    <row r="7777" spans="1:19" s="9" customFormat="1" x14ac:dyDescent="0.25">
      <c r="A7777" s="10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  <c r="Q7777" s="11"/>
      <c r="R7777" s="11"/>
      <c r="S7777" s="11"/>
    </row>
    <row r="7778" spans="1:19" s="9" customFormat="1" x14ac:dyDescent="0.25">
      <c r="A7778" s="10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  <c r="Q7778" s="11"/>
      <c r="R7778" s="11"/>
      <c r="S7778" s="11"/>
    </row>
    <row r="7779" spans="1:19" s="9" customFormat="1" x14ac:dyDescent="0.25">
      <c r="A7779" s="10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  <c r="Q7779" s="11"/>
      <c r="R7779" s="11"/>
      <c r="S7779" s="11"/>
    </row>
    <row r="7780" spans="1:19" s="9" customFormat="1" x14ac:dyDescent="0.25">
      <c r="A7780" s="10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  <c r="Q7780" s="11"/>
      <c r="R7780" s="11"/>
      <c r="S7780" s="11"/>
    </row>
    <row r="7781" spans="1:19" s="9" customFormat="1" x14ac:dyDescent="0.25">
      <c r="A7781" s="10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  <c r="Q7781" s="11"/>
      <c r="R7781" s="11"/>
      <c r="S7781" s="11"/>
    </row>
    <row r="7782" spans="1:19" s="9" customFormat="1" x14ac:dyDescent="0.25">
      <c r="A7782" s="10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  <c r="Q7782" s="11"/>
      <c r="R7782" s="11"/>
      <c r="S7782" s="11"/>
    </row>
    <row r="7783" spans="1:19" s="9" customFormat="1" x14ac:dyDescent="0.25">
      <c r="A7783" s="10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  <c r="Q7783" s="11"/>
      <c r="R7783" s="11"/>
      <c r="S7783" s="11"/>
    </row>
    <row r="7784" spans="1:19" s="9" customFormat="1" x14ac:dyDescent="0.25">
      <c r="A7784" s="10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  <c r="Q7784" s="11"/>
      <c r="R7784" s="11"/>
      <c r="S7784" s="11"/>
    </row>
    <row r="7785" spans="1:19" s="9" customFormat="1" x14ac:dyDescent="0.25">
      <c r="A7785" s="10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  <c r="Q7785" s="11"/>
      <c r="R7785" s="11"/>
      <c r="S7785" s="11"/>
    </row>
    <row r="7786" spans="1:19" s="9" customFormat="1" x14ac:dyDescent="0.25">
      <c r="A7786" s="10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  <c r="Q7786" s="11"/>
      <c r="R7786" s="11"/>
      <c r="S7786" s="11"/>
    </row>
    <row r="7787" spans="1:19" s="9" customFormat="1" x14ac:dyDescent="0.25">
      <c r="A7787" s="10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  <c r="Q7787" s="11"/>
      <c r="R7787" s="11"/>
      <c r="S7787" s="11"/>
    </row>
    <row r="7788" spans="1:19" s="9" customFormat="1" x14ac:dyDescent="0.25">
      <c r="A7788" s="10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  <c r="Q7788" s="11"/>
      <c r="R7788" s="11"/>
      <c r="S7788" s="11"/>
    </row>
    <row r="7789" spans="1:19" s="9" customFormat="1" x14ac:dyDescent="0.25">
      <c r="A7789" s="10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  <c r="Q7789" s="11"/>
      <c r="R7789" s="11"/>
      <c r="S7789" s="11"/>
    </row>
    <row r="7790" spans="1:19" s="9" customFormat="1" x14ac:dyDescent="0.25">
      <c r="A7790" s="10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  <c r="Q7790" s="11"/>
      <c r="R7790" s="11"/>
      <c r="S7790" s="11"/>
    </row>
    <row r="7791" spans="1:19" s="9" customFormat="1" x14ac:dyDescent="0.25">
      <c r="A7791" s="10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  <c r="Q7791" s="11"/>
      <c r="R7791" s="11"/>
      <c r="S7791" s="11"/>
    </row>
    <row r="7792" spans="1:19" s="9" customFormat="1" x14ac:dyDescent="0.25">
      <c r="A7792" s="10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  <c r="Q7792" s="11"/>
      <c r="R7792" s="11"/>
      <c r="S7792" s="11"/>
    </row>
    <row r="7793" spans="1:19" s="9" customFormat="1" x14ac:dyDescent="0.25">
      <c r="A7793" s="10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  <c r="Q7793" s="11"/>
      <c r="R7793" s="11"/>
      <c r="S7793" s="11"/>
    </row>
    <row r="7794" spans="1:19" s="9" customFormat="1" x14ac:dyDescent="0.25">
      <c r="A7794" s="10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  <c r="Q7794" s="11"/>
      <c r="R7794" s="11"/>
      <c r="S7794" s="11"/>
    </row>
    <row r="7795" spans="1:19" s="9" customFormat="1" x14ac:dyDescent="0.25">
      <c r="A7795" s="10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  <c r="Q7795" s="11"/>
      <c r="R7795" s="11"/>
      <c r="S7795" s="11"/>
    </row>
    <row r="7796" spans="1:19" s="9" customFormat="1" x14ac:dyDescent="0.25">
      <c r="A7796" s="10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  <c r="Q7796" s="11"/>
      <c r="R7796" s="11"/>
      <c r="S7796" s="11"/>
    </row>
    <row r="7797" spans="1:19" s="9" customFormat="1" x14ac:dyDescent="0.25">
      <c r="A7797" s="10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  <c r="Q7797" s="11"/>
      <c r="R7797" s="11"/>
      <c r="S7797" s="11"/>
    </row>
    <row r="7798" spans="1:19" s="9" customFormat="1" x14ac:dyDescent="0.25">
      <c r="A7798" s="10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  <c r="Q7798" s="11"/>
      <c r="R7798" s="11"/>
      <c r="S7798" s="11"/>
    </row>
    <row r="7799" spans="1:19" s="9" customFormat="1" x14ac:dyDescent="0.25">
      <c r="A7799" s="10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  <c r="Q7799" s="11"/>
      <c r="R7799" s="11"/>
      <c r="S7799" s="11"/>
    </row>
    <row r="7800" spans="1:19" s="9" customFormat="1" x14ac:dyDescent="0.25">
      <c r="A7800" s="10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  <c r="Q7800" s="11"/>
      <c r="R7800" s="11"/>
      <c r="S7800" s="11"/>
    </row>
    <row r="7801" spans="1:19" s="9" customFormat="1" x14ac:dyDescent="0.25">
      <c r="A7801" s="10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  <c r="Q7801" s="11"/>
      <c r="R7801" s="11"/>
      <c r="S7801" s="11"/>
    </row>
    <row r="7802" spans="1:19" s="9" customFormat="1" x14ac:dyDescent="0.25">
      <c r="A7802" s="10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  <c r="Q7802" s="11"/>
      <c r="R7802" s="11"/>
      <c r="S7802" s="11"/>
    </row>
    <row r="7803" spans="1:19" s="9" customFormat="1" x14ac:dyDescent="0.25">
      <c r="A7803" s="10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  <c r="Q7803" s="11"/>
      <c r="R7803" s="11"/>
      <c r="S7803" s="11"/>
    </row>
    <row r="7804" spans="1:19" s="9" customFormat="1" x14ac:dyDescent="0.25">
      <c r="A7804" s="10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  <c r="Q7804" s="11"/>
      <c r="R7804" s="11"/>
      <c r="S7804" s="11"/>
    </row>
    <row r="7805" spans="1:19" s="9" customFormat="1" x14ac:dyDescent="0.25">
      <c r="A7805" s="10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  <c r="Q7805" s="11"/>
      <c r="R7805" s="11"/>
      <c r="S7805" s="11"/>
    </row>
    <row r="7806" spans="1:19" s="9" customFormat="1" x14ac:dyDescent="0.25">
      <c r="A7806" s="10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  <c r="Q7806" s="11"/>
      <c r="R7806" s="11"/>
      <c r="S7806" s="11"/>
    </row>
    <row r="7807" spans="1:19" s="9" customFormat="1" x14ac:dyDescent="0.25">
      <c r="A7807" s="10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  <c r="Q7807" s="11"/>
      <c r="R7807" s="11"/>
      <c r="S7807" s="11"/>
    </row>
    <row r="7808" spans="1:19" s="9" customFormat="1" x14ac:dyDescent="0.25">
      <c r="A7808" s="10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  <c r="Q7808" s="11"/>
      <c r="R7808" s="11"/>
      <c r="S7808" s="11"/>
    </row>
    <row r="7809" spans="1:19" s="9" customFormat="1" x14ac:dyDescent="0.25">
      <c r="A7809" s="10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  <c r="Q7809" s="11"/>
      <c r="R7809" s="11"/>
      <c r="S7809" s="11"/>
    </row>
    <row r="7810" spans="1:19" s="9" customFormat="1" x14ac:dyDescent="0.25">
      <c r="A7810" s="10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  <c r="Q7810" s="11"/>
      <c r="R7810" s="11"/>
      <c r="S7810" s="11"/>
    </row>
    <row r="7811" spans="1:19" s="9" customFormat="1" x14ac:dyDescent="0.25">
      <c r="A7811" s="10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  <c r="Q7811" s="11"/>
      <c r="R7811" s="11"/>
      <c r="S7811" s="11"/>
    </row>
    <row r="7812" spans="1:19" s="9" customFormat="1" x14ac:dyDescent="0.25">
      <c r="A7812" s="10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  <c r="Q7812" s="11"/>
      <c r="R7812" s="11"/>
      <c r="S7812" s="11"/>
    </row>
    <row r="7813" spans="1:19" s="9" customFormat="1" x14ac:dyDescent="0.25">
      <c r="A7813" s="10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  <c r="Q7813" s="11"/>
      <c r="R7813" s="11"/>
      <c r="S7813" s="11"/>
    </row>
    <row r="7814" spans="1:19" s="9" customFormat="1" x14ac:dyDescent="0.25">
      <c r="A7814" s="10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  <c r="Q7814" s="11"/>
      <c r="R7814" s="11"/>
      <c r="S7814" s="11"/>
    </row>
    <row r="7815" spans="1:19" s="9" customFormat="1" x14ac:dyDescent="0.25">
      <c r="A7815" s="10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  <c r="Q7815" s="11"/>
      <c r="R7815" s="11"/>
      <c r="S7815" s="11"/>
    </row>
    <row r="7816" spans="1:19" s="9" customFormat="1" x14ac:dyDescent="0.25">
      <c r="A7816" s="10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  <c r="Q7816" s="11"/>
      <c r="R7816" s="11"/>
      <c r="S7816" s="11"/>
    </row>
    <row r="7817" spans="1:19" s="9" customFormat="1" x14ac:dyDescent="0.25">
      <c r="A7817" s="10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  <c r="Q7817" s="11"/>
      <c r="R7817" s="11"/>
      <c r="S7817" s="11"/>
    </row>
    <row r="7818" spans="1:19" s="9" customFormat="1" x14ac:dyDescent="0.25">
      <c r="A7818" s="10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  <c r="Q7818" s="11"/>
      <c r="R7818" s="11"/>
      <c r="S7818" s="11"/>
    </row>
    <row r="7819" spans="1:19" s="9" customFormat="1" x14ac:dyDescent="0.25">
      <c r="A7819" s="10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  <c r="Q7819" s="11"/>
      <c r="R7819" s="11"/>
      <c r="S7819" s="11"/>
    </row>
    <row r="7820" spans="1:19" s="9" customFormat="1" x14ac:dyDescent="0.25">
      <c r="A7820" s="10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  <c r="Q7820" s="11"/>
      <c r="R7820" s="11"/>
      <c r="S7820" s="11"/>
    </row>
    <row r="7821" spans="1:19" s="9" customFormat="1" x14ac:dyDescent="0.25">
      <c r="A7821" s="10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  <c r="Q7821" s="11"/>
      <c r="R7821" s="11"/>
      <c r="S7821" s="11"/>
    </row>
    <row r="7822" spans="1:19" s="9" customFormat="1" x14ac:dyDescent="0.25">
      <c r="A7822" s="10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  <c r="Q7822" s="11"/>
      <c r="R7822" s="11"/>
      <c r="S7822" s="11"/>
    </row>
    <row r="7823" spans="1:19" s="9" customFormat="1" x14ac:dyDescent="0.25">
      <c r="A7823" s="10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  <c r="Q7823" s="11"/>
      <c r="R7823" s="11"/>
      <c r="S7823" s="11"/>
    </row>
    <row r="7824" spans="1:19" s="9" customFormat="1" x14ac:dyDescent="0.25">
      <c r="A7824" s="10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  <c r="Q7824" s="11"/>
      <c r="R7824" s="11"/>
      <c r="S7824" s="11"/>
    </row>
    <row r="7825" spans="1:19" s="9" customFormat="1" x14ac:dyDescent="0.25">
      <c r="A7825" s="10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  <c r="Q7825" s="11"/>
      <c r="R7825" s="11"/>
      <c r="S7825" s="11"/>
    </row>
    <row r="7826" spans="1:19" s="9" customFormat="1" x14ac:dyDescent="0.25">
      <c r="A7826" s="10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  <c r="Q7826" s="11"/>
      <c r="R7826" s="11"/>
      <c r="S7826" s="11"/>
    </row>
    <row r="7827" spans="1:19" s="9" customFormat="1" x14ac:dyDescent="0.25">
      <c r="A7827" s="10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  <c r="Q7827" s="11"/>
      <c r="R7827" s="11"/>
      <c r="S7827" s="11"/>
    </row>
    <row r="7828" spans="1:19" s="9" customFormat="1" x14ac:dyDescent="0.25">
      <c r="A7828" s="10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  <c r="Q7828" s="11"/>
      <c r="R7828" s="11"/>
      <c r="S7828" s="11"/>
    </row>
    <row r="7829" spans="1:19" s="9" customFormat="1" x14ac:dyDescent="0.25">
      <c r="A7829" s="10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  <c r="Q7829" s="11"/>
      <c r="R7829" s="11"/>
      <c r="S7829" s="11"/>
    </row>
    <row r="7830" spans="1:19" s="9" customFormat="1" x14ac:dyDescent="0.25">
      <c r="A7830" s="10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  <c r="Q7830" s="11"/>
      <c r="R7830" s="11"/>
      <c r="S7830" s="11"/>
    </row>
    <row r="7831" spans="1:19" s="9" customFormat="1" x14ac:dyDescent="0.25">
      <c r="A7831" s="10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  <c r="Q7831" s="11"/>
      <c r="R7831" s="11"/>
      <c r="S7831" s="11"/>
    </row>
    <row r="7832" spans="1:19" s="9" customFormat="1" x14ac:dyDescent="0.25">
      <c r="A7832" s="10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  <c r="Q7832" s="11"/>
      <c r="R7832" s="11"/>
      <c r="S7832" s="11"/>
    </row>
    <row r="7833" spans="1:19" s="9" customFormat="1" x14ac:dyDescent="0.25">
      <c r="A7833" s="10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  <c r="Q7833" s="11"/>
      <c r="R7833" s="11"/>
      <c r="S7833" s="11"/>
    </row>
    <row r="7834" spans="1:19" s="9" customFormat="1" x14ac:dyDescent="0.25">
      <c r="A7834" s="10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  <c r="Q7834" s="11"/>
      <c r="R7834" s="11"/>
      <c r="S7834" s="11"/>
    </row>
    <row r="7835" spans="1:19" s="9" customFormat="1" x14ac:dyDescent="0.25">
      <c r="A7835" s="10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  <c r="Q7835" s="11"/>
      <c r="R7835" s="11"/>
      <c r="S7835" s="11"/>
    </row>
    <row r="7836" spans="1:19" s="9" customFormat="1" x14ac:dyDescent="0.25">
      <c r="A7836" s="10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  <c r="Q7836" s="11"/>
      <c r="R7836" s="11"/>
      <c r="S7836" s="11"/>
    </row>
    <row r="7837" spans="1:19" s="9" customFormat="1" x14ac:dyDescent="0.25">
      <c r="A7837" s="10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  <c r="Q7837" s="11"/>
      <c r="R7837" s="11"/>
      <c r="S7837" s="11"/>
    </row>
    <row r="7838" spans="1:19" s="9" customFormat="1" x14ac:dyDescent="0.25">
      <c r="A7838" s="10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  <c r="Q7838" s="11"/>
      <c r="R7838" s="11"/>
      <c r="S7838" s="11"/>
    </row>
    <row r="7839" spans="1:19" s="9" customFormat="1" x14ac:dyDescent="0.25">
      <c r="A7839" s="10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  <c r="Q7839" s="11"/>
      <c r="R7839" s="11"/>
      <c r="S7839" s="11"/>
    </row>
    <row r="7840" spans="1:19" s="9" customFormat="1" x14ac:dyDescent="0.25">
      <c r="A7840" s="10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  <c r="Q7840" s="11"/>
      <c r="R7840" s="11"/>
      <c r="S7840" s="11"/>
    </row>
    <row r="7841" spans="1:19" s="9" customFormat="1" x14ac:dyDescent="0.25">
      <c r="A7841" s="10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  <c r="Q7841" s="11"/>
      <c r="R7841" s="11"/>
      <c r="S7841" s="11"/>
    </row>
    <row r="7842" spans="1:19" s="9" customFormat="1" x14ac:dyDescent="0.25">
      <c r="A7842" s="10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  <c r="Q7842" s="11"/>
      <c r="R7842" s="11"/>
      <c r="S7842" s="11"/>
    </row>
    <row r="7843" spans="1:19" s="9" customFormat="1" x14ac:dyDescent="0.25">
      <c r="A7843" s="10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  <c r="Q7843" s="11"/>
      <c r="R7843" s="11"/>
      <c r="S7843" s="11"/>
    </row>
    <row r="7844" spans="1:19" s="9" customFormat="1" x14ac:dyDescent="0.25">
      <c r="A7844" s="10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  <c r="Q7844" s="11"/>
      <c r="R7844" s="11"/>
      <c r="S7844" s="11"/>
    </row>
    <row r="7845" spans="1:19" s="9" customFormat="1" x14ac:dyDescent="0.25">
      <c r="A7845" s="10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  <c r="Q7845" s="11"/>
      <c r="R7845" s="11"/>
      <c r="S7845" s="11"/>
    </row>
    <row r="7846" spans="1:19" s="9" customFormat="1" x14ac:dyDescent="0.25">
      <c r="A7846" s="10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  <c r="Q7846" s="11"/>
      <c r="R7846" s="11"/>
      <c r="S7846" s="11"/>
    </row>
    <row r="7847" spans="1:19" s="9" customFormat="1" x14ac:dyDescent="0.25">
      <c r="A7847" s="10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  <c r="Q7847" s="11"/>
      <c r="R7847" s="11"/>
      <c r="S7847" s="11"/>
    </row>
    <row r="7848" spans="1:19" s="9" customFormat="1" x14ac:dyDescent="0.25">
      <c r="A7848" s="10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  <c r="Q7848" s="11"/>
      <c r="R7848" s="11"/>
      <c r="S7848" s="11"/>
    </row>
    <row r="7849" spans="1:19" s="9" customFormat="1" x14ac:dyDescent="0.25">
      <c r="A7849" s="10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  <c r="Q7849" s="11"/>
      <c r="R7849" s="11"/>
      <c r="S7849" s="11"/>
    </row>
    <row r="7850" spans="1:19" s="9" customFormat="1" x14ac:dyDescent="0.25">
      <c r="A7850" s="10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  <c r="Q7850" s="11"/>
      <c r="R7850" s="11"/>
      <c r="S7850" s="11"/>
    </row>
    <row r="7851" spans="1:19" s="9" customFormat="1" x14ac:dyDescent="0.25">
      <c r="A7851" s="10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  <c r="Q7851" s="11"/>
      <c r="R7851" s="11"/>
      <c r="S7851" s="11"/>
    </row>
    <row r="7852" spans="1:19" s="9" customFormat="1" x14ac:dyDescent="0.25">
      <c r="A7852" s="10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  <c r="Q7852" s="11"/>
      <c r="R7852" s="11"/>
      <c r="S7852" s="11"/>
    </row>
    <row r="7853" spans="1:19" s="9" customFormat="1" x14ac:dyDescent="0.25">
      <c r="A7853" s="10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  <c r="Q7853" s="11"/>
      <c r="R7853" s="11"/>
      <c r="S7853" s="11"/>
    </row>
    <row r="7854" spans="1:19" s="9" customFormat="1" x14ac:dyDescent="0.25">
      <c r="A7854" s="10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  <c r="Q7854" s="11"/>
      <c r="R7854" s="11"/>
      <c r="S7854" s="11"/>
    </row>
    <row r="7855" spans="1:19" s="9" customFormat="1" x14ac:dyDescent="0.25">
      <c r="A7855" s="10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  <c r="Q7855" s="11"/>
      <c r="R7855" s="11"/>
      <c r="S7855" s="11"/>
    </row>
    <row r="7856" spans="1:19" s="9" customFormat="1" x14ac:dyDescent="0.25">
      <c r="A7856" s="10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  <c r="Q7856" s="11"/>
      <c r="R7856" s="11"/>
      <c r="S7856" s="11"/>
    </row>
    <row r="7857" spans="1:19" s="9" customFormat="1" x14ac:dyDescent="0.25">
      <c r="A7857" s="10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  <c r="Q7857" s="11"/>
      <c r="R7857" s="11"/>
      <c r="S7857" s="11"/>
    </row>
    <row r="7858" spans="1:19" s="9" customFormat="1" x14ac:dyDescent="0.25">
      <c r="A7858" s="10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  <c r="Q7858" s="11"/>
      <c r="R7858" s="11"/>
      <c r="S7858" s="11"/>
    </row>
    <row r="7859" spans="1:19" s="9" customFormat="1" x14ac:dyDescent="0.25">
      <c r="A7859" s="10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  <c r="Q7859" s="11"/>
      <c r="R7859" s="11"/>
      <c r="S7859" s="11"/>
    </row>
    <row r="7860" spans="1:19" s="9" customFormat="1" x14ac:dyDescent="0.25">
      <c r="A7860" s="10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  <c r="Q7860" s="11"/>
      <c r="R7860" s="11"/>
      <c r="S7860" s="11"/>
    </row>
    <row r="7861" spans="1:19" s="9" customFormat="1" x14ac:dyDescent="0.25">
      <c r="A7861" s="10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  <c r="Q7861" s="11"/>
      <c r="R7861" s="11"/>
      <c r="S7861" s="11"/>
    </row>
    <row r="7862" spans="1:19" s="9" customFormat="1" x14ac:dyDescent="0.25">
      <c r="A7862" s="10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  <c r="Q7862" s="11"/>
      <c r="R7862" s="11"/>
      <c r="S7862" s="11"/>
    </row>
    <row r="7863" spans="1:19" s="9" customFormat="1" x14ac:dyDescent="0.25">
      <c r="A7863" s="10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  <c r="Q7863" s="11"/>
      <c r="R7863" s="11"/>
      <c r="S7863" s="11"/>
    </row>
    <row r="7864" spans="1:19" s="9" customFormat="1" x14ac:dyDescent="0.25">
      <c r="A7864" s="10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  <c r="Q7864" s="11"/>
      <c r="R7864" s="11"/>
      <c r="S7864" s="11"/>
    </row>
    <row r="7865" spans="1:19" s="9" customFormat="1" x14ac:dyDescent="0.25">
      <c r="A7865" s="10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  <c r="Q7865" s="11"/>
      <c r="R7865" s="11"/>
      <c r="S7865" s="11"/>
    </row>
    <row r="7866" spans="1:19" s="9" customFormat="1" x14ac:dyDescent="0.25">
      <c r="A7866" s="10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  <c r="Q7866" s="11"/>
      <c r="R7866" s="11"/>
      <c r="S7866" s="11"/>
    </row>
    <row r="7867" spans="1:19" s="9" customFormat="1" x14ac:dyDescent="0.25">
      <c r="A7867" s="10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  <c r="Q7867" s="11"/>
      <c r="R7867" s="11"/>
      <c r="S7867" s="11"/>
    </row>
    <row r="7868" spans="1:19" s="9" customFormat="1" x14ac:dyDescent="0.25">
      <c r="A7868" s="10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  <c r="Q7868" s="11"/>
      <c r="R7868" s="11"/>
      <c r="S7868" s="11"/>
    </row>
    <row r="7869" spans="1:19" s="9" customFormat="1" x14ac:dyDescent="0.25">
      <c r="A7869" s="10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  <c r="Q7869" s="11"/>
      <c r="R7869" s="11"/>
      <c r="S7869" s="11"/>
    </row>
    <row r="7870" spans="1:19" s="9" customFormat="1" x14ac:dyDescent="0.25">
      <c r="A7870" s="10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  <c r="Q7870" s="11"/>
      <c r="R7870" s="11"/>
      <c r="S7870" s="11"/>
    </row>
    <row r="7871" spans="1:19" s="9" customFormat="1" x14ac:dyDescent="0.25">
      <c r="A7871" s="10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  <c r="Q7871" s="11"/>
      <c r="R7871" s="11"/>
      <c r="S7871" s="11"/>
    </row>
    <row r="7872" spans="1:19" s="9" customFormat="1" x14ac:dyDescent="0.25">
      <c r="A7872" s="10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  <c r="Q7872" s="11"/>
      <c r="R7872" s="11"/>
      <c r="S7872" s="11"/>
    </row>
    <row r="7873" spans="1:19" s="9" customFormat="1" x14ac:dyDescent="0.25">
      <c r="A7873" s="10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  <c r="Q7873" s="11"/>
      <c r="R7873" s="11"/>
      <c r="S7873" s="11"/>
    </row>
    <row r="7874" spans="1:19" s="9" customFormat="1" x14ac:dyDescent="0.25">
      <c r="A7874" s="10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  <c r="Q7874" s="11"/>
      <c r="R7874" s="11"/>
      <c r="S7874" s="11"/>
    </row>
    <row r="7875" spans="1:19" s="9" customFormat="1" x14ac:dyDescent="0.25">
      <c r="A7875" s="10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  <c r="Q7875" s="11"/>
      <c r="R7875" s="11"/>
      <c r="S7875" s="11"/>
    </row>
    <row r="7876" spans="1:19" s="9" customFormat="1" x14ac:dyDescent="0.25">
      <c r="A7876" s="10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  <c r="Q7876" s="11"/>
      <c r="R7876" s="11"/>
      <c r="S7876" s="11"/>
    </row>
    <row r="7877" spans="1:19" s="9" customFormat="1" x14ac:dyDescent="0.25">
      <c r="A7877" s="10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  <c r="Q7877" s="11"/>
      <c r="R7877" s="11"/>
      <c r="S7877" s="11"/>
    </row>
    <row r="7878" spans="1:19" s="9" customFormat="1" x14ac:dyDescent="0.25">
      <c r="A7878" s="10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  <c r="Q7878" s="11"/>
      <c r="R7878" s="11"/>
      <c r="S7878" s="11"/>
    </row>
    <row r="7879" spans="1:19" s="9" customFormat="1" x14ac:dyDescent="0.25">
      <c r="A7879" s="10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  <c r="Q7879" s="11"/>
      <c r="R7879" s="11"/>
      <c r="S7879" s="11"/>
    </row>
    <row r="7880" spans="1:19" s="9" customFormat="1" x14ac:dyDescent="0.25">
      <c r="A7880" s="10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  <c r="Q7880" s="11"/>
      <c r="R7880" s="11"/>
      <c r="S7880" s="11"/>
    </row>
    <row r="7881" spans="1:19" s="9" customFormat="1" x14ac:dyDescent="0.25">
      <c r="A7881" s="10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  <c r="Q7881" s="11"/>
      <c r="R7881" s="11"/>
      <c r="S7881" s="11"/>
    </row>
    <row r="7882" spans="1:19" s="9" customFormat="1" x14ac:dyDescent="0.25">
      <c r="A7882" s="10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  <c r="Q7882" s="11"/>
      <c r="R7882" s="11"/>
      <c r="S7882" s="11"/>
    </row>
    <row r="7883" spans="1:19" s="9" customFormat="1" x14ac:dyDescent="0.25">
      <c r="A7883" s="10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  <c r="Q7883" s="11"/>
      <c r="R7883" s="11"/>
      <c r="S7883" s="11"/>
    </row>
    <row r="7884" spans="1:19" s="9" customFormat="1" x14ac:dyDescent="0.25">
      <c r="A7884" s="10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  <c r="Q7884" s="11"/>
      <c r="R7884" s="11"/>
      <c r="S7884" s="11"/>
    </row>
    <row r="7885" spans="1:19" s="9" customFormat="1" x14ac:dyDescent="0.25">
      <c r="A7885" s="10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  <c r="Q7885" s="11"/>
      <c r="R7885" s="11"/>
      <c r="S7885" s="11"/>
    </row>
    <row r="7886" spans="1:19" s="9" customFormat="1" x14ac:dyDescent="0.25">
      <c r="A7886" s="10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  <c r="Q7886" s="11"/>
      <c r="R7886" s="11"/>
      <c r="S7886" s="11"/>
    </row>
    <row r="7887" spans="1:19" s="9" customFormat="1" x14ac:dyDescent="0.25">
      <c r="A7887" s="10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  <c r="Q7887" s="11"/>
      <c r="R7887" s="11"/>
      <c r="S7887" s="11"/>
    </row>
    <row r="7888" spans="1:19" s="9" customFormat="1" x14ac:dyDescent="0.25">
      <c r="A7888" s="10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  <c r="Q7888" s="11"/>
      <c r="R7888" s="11"/>
      <c r="S7888" s="11"/>
    </row>
    <row r="7889" spans="1:19" s="9" customFormat="1" x14ac:dyDescent="0.25">
      <c r="A7889" s="10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  <c r="Q7889" s="11"/>
      <c r="R7889" s="11"/>
      <c r="S7889" s="11"/>
    </row>
    <row r="7890" spans="1:19" s="9" customFormat="1" x14ac:dyDescent="0.25">
      <c r="A7890" s="10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  <c r="Q7890" s="11"/>
      <c r="R7890" s="11"/>
      <c r="S7890" s="11"/>
    </row>
    <row r="7891" spans="1:19" s="9" customFormat="1" x14ac:dyDescent="0.25">
      <c r="A7891" s="10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  <c r="Q7891" s="11"/>
      <c r="R7891" s="11"/>
      <c r="S7891" s="11"/>
    </row>
    <row r="7892" spans="1:19" s="9" customFormat="1" x14ac:dyDescent="0.25">
      <c r="A7892" s="10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  <c r="Q7892" s="11"/>
      <c r="R7892" s="11"/>
      <c r="S7892" s="11"/>
    </row>
    <row r="7893" spans="1:19" s="9" customFormat="1" x14ac:dyDescent="0.25">
      <c r="A7893" s="10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  <c r="Q7893" s="11"/>
      <c r="R7893" s="11"/>
      <c r="S7893" s="11"/>
    </row>
    <row r="7894" spans="1:19" s="9" customFormat="1" x14ac:dyDescent="0.25">
      <c r="A7894" s="10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  <c r="Q7894" s="11"/>
      <c r="R7894" s="11"/>
      <c r="S7894" s="11"/>
    </row>
    <row r="7895" spans="1:19" s="9" customFormat="1" x14ac:dyDescent="0.25">
      <c r="A7895" s="10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  <c r="Q7895" s="11"/>
      <c r="R7895" s="11"/>
      <c r="S7895" s="11"/>
    </row>
    <row r="7896" spans="1:19" s="9" customFormat="1" x14ac:dyDescent="0.25">
      <c r="A7896" s="10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  <c r="Q7896" s="11"/>
      <c r="R7896" s="11"/>
      <c r="S7896" s="11"/>
    </row>
    <row r="7897" spans="1:19" s="9" customFormat="1" x14ac:dyDescent="0.25">
      <c r="A7897" s="10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  <c r="Q7897" s="11"/>
      <c r="R7897" s="11"/>
      <c r="S7897" s="11"/>
    </row>
    <row r="7898" spans="1:19" s="9" customFormat="1" x14ac:dyDescent="0.25">
      <c r="A7898" s="10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  <c r="Q7898" s="11"/>
      <c r="R7898" s="11"/>
      <c r="S7898" s="11"/>
    </row>
    <row r="7899" spans="1:19" s="9" customFormat="1" x14ac:dyDescent="0.25">
      <c r="A7899" s="10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  <c r="Q7899" s="11"/>
      <c r="R7899" s="11"/>
      <c r="S7899" s="11"/>
    </row>
    <row r="7900" spans="1:19" s="9" customFormat="1" x14ac:dyDescent="0.25">
      <c r="A7900" s="10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  <c r="Q7900" s="11"/>
      <c r="R7900" s="11"/>
      <c r="S7900" s="11"/>
    </row>
    <row r="7901" spans="1:19" s="9" customFormat="1" x14ac:dyDescent="0.25">
      <c r="A7901" s="10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  <c r="Q7901" s="11"/>
      <c r="R7901" s="11"/>
      <c r="S7901" s="11"/>
    </row>
    <row r="7902" spans="1:19" s="9" customFormat="1" x14ac:dyDescent="0.25">
      <c r="A7902" s="10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  <c r="Q7902" s="11"/>
      <c r="R7902" s="11"/>
      <c r="S7902" s="11"/>
    </row>
    <row r="7903" spans="1:19" s="9" customFormat="1" x14ac:dyDescent="0.25">
      <c r="A7903" s="10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  <c r="Q7903" s="11"/>
      <c r="R7903" s="11"/>
      <c r="S7903" s="11"/>
    </row>
    <row r="7904" spans="1:19" s="9" customFormat="1" x14ac:dyDescent="0.25">
      <c r="A7904" s="10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  <c r="Q7904" s="11"/>
      <c r="R7904" s="11"/>
      <c r="S7904" s="11"/>
    </row>
    <row r="7905" spans="1:19" s="9" customFormat="1" x14ac:dyDescent="0.25">
      <c r="A7905" s="10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  <c r="Q7905" s="11"/>
      <c r="R7905" s="11"/>
      <c r="S7905" s="11"/>
    </row>
    <row r="7906" spans="1:19" s="9" customFormat="1" x14ac:dyDescent="0.25">
      <c r="A7906" s="10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  <c r="Q7906" s="11"/>
      <c r="R7906" s="11"/>
      <c r="S7906" s="11"/>
    </row>
    <row r="7907" spans="1:19" s="9" customFormat="1" x14ac:dyDescent="0.25">
      <c r="A7907" s="10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  <c r="Q7907" s="11"/>
      <c r="R7907" s="11"/>
      <c r="S7907" s="11"/>
    </row>
    <row r="7908" spans="1:19" s="9" customFormat="1" x14ac:dyDescent="0.25">
      <c r="A7908" s="10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  <c r="Q7908" s="11"/>
      <c r="R7908" s="11"/>
      <c r="S7908" s="11"/>
    </row>
    <row r="7909" spans="1:19" s="9" customFormat="1" x14ac:dyDescent="0.25">
      <c r="A7909" s="10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  <c r="Q7909" s="11"/>
      <c r="R7909" s="11"/>
      <c r="S7909" s="11"/>
    </row>
    <row r="7910" spans="1:19" s="9" customFormat="1" x14ac:dyDescent="0.25">
      <c r="A7910" s="10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  <c r="Q7910" s="11"/>
      <c r="R7910" s="11"/>
      <c r="S7910" s="11"/>
    </row>
    <row r="7911" spans="1:19" s="9" customFormat="1" x14ac:dyDescent="0.25">
      <c r="A7911" s="10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  <c r="Q7911" s="11"/>
      <c r="R7911" s="11"/>
      <c r="S7911" s="11"/>
    </row>
    <row r="7912" spans="1:19" s="9" customFormat="1" x14ac:dyDescent="0.25">
      <c r="A7912" s="10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  <c r="Q7912" s="11"/>
      <c r="R7912" s="11"/>
      <c r="S7912" s="11"/>
    </row>
    <row r="7913" spans="1:19" s="9" customFormat="1" x14ac:dyDescent="0.25">
      <c r="A7913" s="10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  <c r="Q7913" s="11"/>
      <c r="R7913" s="11"/>
      <c r="S7913" s="11"/>
    </row>
    <row r="7914" spans="1:19" s="9" customFormat="1" x14ac:dyDescent="0.25">
      <c r="A7914" s="10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  <c r="Q7914" s="11"/>
      <c r="R7914" s="11"/>
      <c r="S7914" s="11"/>
    </row>
    <row r="7915" spans="1:19" s="9" customFormat="1" x14ac:dyDescent="0.25">
      <c r="A7915" s="10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  <c r="Q7915" s="11"/>
      <c r="R7915" s="11"/>
      <c r="S7915" s="11"/>
    </row>
    <row r="7916" spans="1:19" s="9" customFormat="1" x14ac:dyDescent="0.25">
      <c r="A7916" s="10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  <c r="Q7916" s="11"/>
      <c r="R7916" s="11"/>
      <c r="S7916" s="11"/>
    </row>
    <row r="7917" spans="1:19" s="9" customFormat="1" x14ac:dyDescent="0.25">
      <c r="A7917" s="10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  <c r="Q7917" s="11"/>
      <c r="R7917" s="11"/>
      <c r="S7917" s="11"/>
    </row>
    <row r="7918" spans="1:19" s="9" customFormat="1" x14ac:dyDescent="0.25">
      <c r="A7918" s="10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  <c r="Q7918" s="11"/>
      <c r="R7918" s="11"/>
      <c r="S7918" s="11"/>
    </row>
    <row r="7919" spans="1:19" s="9" customFormat="1" x14ac:dyDescent="0.25">
      <c r="A7919" s="10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  <c r="Q7919" s="11"/>
      <c r="R7919" s="11"/>
      <c r="S7919" s="11"/>
    </row>
    <row r="7920" spans="1:19" s="9" customFormat="1" x14ac:dyDescent="0.25">
      <c r="A7920" s="10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  <c r="Q7920" s="11"/>
      <c r="R7920" s="11"/>
      <c r="S7920" s="11"/>
    </row>
    <row r="7921" spans="1:19" s="9" customFormat="1" x14ac:dyDescent="0.25">
      <c r="A7921" s="10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  <c r="Q7921" s="11"/>
      <c r="R7921" s="11"/>
      <c r="S7921" s="11"/>
    </row>
    <row r="7922" spans="1:19" s="9" customFormat="1" x14ac:dyDescent="0.25">
      <c r="A7922" s="10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  <c r="Q7922" s="11"/>
      <c r="R7922" s="11"/>
      <c r="S7922" s="11"/>
    </row>
    <row r="7923" spans="1:19" s="9" customFormat="1" x14ac:dyDescent="0.25">
      <c r="A7923" s="10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  <c r="Q7923" s="11"/>
      <c r="R7923" s="11"/>
      <c r="S7923" s="11"/>
    </row>
    <row r="7924" spans="1:19" s="9" customFormat="1" x14ac:dyDescent="0.25">
      <c r="A7924" s="10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  <c r="Q7924" s="11"/>
      <c r="R7924" s="11"/>
      <c r="S7924" s="11"/>
    </row>
    <row r="7925" spans="1:19" s="9" customFormat="1" x14ac:dyDescent="0.25">
      <c r="A7925" s="10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  <c r="Q7925" s="11"/>
      <c r="R7925" s="11"/>
      <c r="S7925" s="11"/>
    </row>
    <row r="7926" spans="1:19" s="9" customFormat="1" x14ac:dyDescent="0.25">
      <c r="A7926" s="10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  <c r="Q7926" s="11"/>
      <c r="R7926" s="11"/>
      <c r="S7926" s="11"/>
    </row>
    <row r="7927" spans="1:19" s="9" customFormat="1" x14ac:dyDescent="0.25">
      <c r="A7927" s="10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  <c r="Q7927" s="11"/>
      <c r="R7927" s="11"/>
      <c r="S7927" s="11"/>
    </row>
    <row r="7928" spans="1:19" s="9" customFormat="1" x14ac:dyDescent="0.25">
      <c r="A7928" s="10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  <c r="Q7928" s="11"/>
      <c r="R7928" s="11"/>
      <c r="S7928" s="11"/>
    </row>
    <row r="7929" spans="1:19" s="9" customFormat="1" x14ac:dyDescent="0.25">
      <c r="A7929" s="10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  <c r="Q7929" s="11"/>
      <c r="R7929" s="11"/>
      <c r="S7929" s="11"/>
    </row>
    <row r="7930" spans="1:19" s="9" customFormat="1" x14ac:dyDescent="0.25">
      <c r="A7930" s="10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  <c r="Q7930" s="11"/>
      <c r="R7930" s="11"/>
      <c r="S7930" s="11"/>
    </row>
    <row r="7931" spans="1:19" s="9" customFormat="1" x14ac:dyDescent="0.25">
      <c r="A7931" s="10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  <c r="Q7931" s="11"/>
      <c r="R7931" s="11"/>
      <c r="S7931" s="11"/>
    </row>
    <row r="7932" spans="1:19" s="9" customFormat="1" x14ac:dyDescent="0.25">
      <c r="A7932" s="10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  <c r="Q7932" s="11"/>
      <c r="R7932" s="11"/>
      <c r="S7932" s="11"/>
    </row>
    <row r="7933" spans="1:19" s="9" customFormat="1" x14ac:dyDescent="0.25">
      <c r="A7933" s="10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  <c r="Q7933" s="11"/>
      <c r="R7933" s="11"/>
      <c r="S7933" s="11"/>
    </row>
    <row r="7934" spans="1:19" s="9" customFormat="1" x14ac:dyDescent="0.25">
      <c r="A7934" s="10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  <c r="Q7934" s="11"/>
      <c r="R7934" s="11"/>
      <c r="S7934" s="11"/>
    </row>
    <row r="7935" spans="1:19" s="9" customFormat="1" x14ac:dyDescent="0.25">
      <c r="A7935" s="10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  <c r="Q7935" s="11"/>
      <c r="R7935" s="11"/>
      <c r="S7935" s="11"/>
    </row>
    <row r="7936" spans="1:19" s="9" customFormat="1" x14ac:dyDescent="0.25">
      <c r="A7936" s="10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  <c r="Q7936" s="11"/>
      <c r="R7936" s="11"/>
      <c r="S7936" s="11"/>
    </row>
    <row r="7937" spans="1:19" s="9" customFormat="1" x14ac:dyDescent="0.25">
      <c r="A7937" s="10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  <c r="Q7937" s="11"/>
      <c r="R7937" s="11"/>
      <c r="S7937" s="11"/>
    </row>
    <row r="7938" spans="1:19" s="9" customFormat="1" x14ac:dyDescent="0.25">
      <c r="A7938" s="10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  <c r="Q7938" s="11"/>
      <c r="R7938" s="11"/>
      <c r="S7938" s="11"/>
    </row>
    <row r="7939" spans="1:19" s="9" customFormat="1" x14ac:dyDescent="0.25">
      <c r="A7939" s="10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  <c r="Q7939" s="11"/>
      <c r="R7939" s="11"/>
      <c r="S7939" s="11"/>
    </row>
    <row r="7940" spans="1:19" s="9" customFormat="1" x14ac:dyDescent="0.25">
      <c r="A7940" s="10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  <c r="Q7940" s="11"/>
      <c r="R7940" s="11"/>
      <c r="S7940" s="11"/>
    </row>
    <row r="7941" spans="1:19" s="9" customFormat="1" x14ac:dyDescent="0.25">
      <c r="A7941" s="10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  <c r="Q7941" s="11"/>
      <c r="R7941" s="11"/>
      <c r="S7941" s="11"/>
    </row>
    <row r="7942" spans="1:19" s="9" customFormat="1" x14ac:dyDescent="0.25">
      <c r="A7942" s="10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  <c r="Q7942" s="11"/>
      <c r="R7942" s="11"/>
      <c r="S7942" s="11"/>
    </row>
    <row r="7943" spans="1:19" s="9" customFormat="1" x14ac:dyDescent="0.25">
      <c r="A7943" s="10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  <c r="Q7943" s="11"/>
      <c r="R7943" s="11"/>
      <c r="S7943" s="11"/>
    </row>
    <row r="7944" spans="1:19" s="9" customFormat="1" x14ac:dyDescent="0.25">
      <c r="A7944" s="10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  <c r="Q7944" s="11"/>
      <c r="R7944" s="11"/>
      <c r="S7944" s="11"/>
    </row>
    <row r="7945" spans="1:19" s="9" customFormat="1" x14ac:dyDescent="0.25">
      <c r="A7945" s="10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  <c r="Q7945" s="11"/>
      <c r="R7945" s="11"/>
      <c r="S7945" s="11"/>
    </row>
    <row r="7946" spans="1:19" s="9" customFormat="1" x14ac:dyDescent="0.25">
      <c r="A7946" s="10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  <c r="Q7946" s="11"/>
      <c r="R7946" s="11"/>
      <c r="S7946" s="11"/>
    </row>
    <row r="7947" spans="1:19" s="9" customFormat="1" x14ac:dyDescent="0.25">
      <c r="A7947" s="10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  <c r="Q7947" s="11"/>
      <c r="R7947" s="11"/>
      <c r="S7947" s="11"/>
    </row>
    <row r="7948" spans="1:19" s="9" customFormat="1" x14ac:dyDescent="0.25">
      <c r="A7948" s="10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  <c r="Q7948" s="11"/>
      <c r="R7948" s="11"/>
      <c r="S7948" s="11"/>
    </row>
    <row r="7949" spans="1:19" s="9" customFormat="1" x14ac:dyDescent="0.25">
      <c r="A7949" s="10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  <c r="Q7949" s="11"/>
      <c r="R7949" s="11"/>
      <c r="S7949" s="11"/>
    </row>
    <row r="7950" spans="1:19" s="9" customFormat="1" x14ac:dyDescent="0.25">
      <c r="A7950" s="10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  <c r="Q7950" s="11"/>
      <c r="R7950" s="11"/>
      <c r="S7950" s="11"/>
    </row>
    <row r="7951" spans="1:19" s="9" customFormat="1" x14ac:dyDescent="0.25">
      <c r="A7951" s="10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  <c r="Q7951" s="11"/>
      <c r="R7951" s="11"/>
      <c r="S7951" s="11"/>
    </row>
    <row r="7952" spans="1:19" s="9" customFormat="1" x14ac:dyDescent="0.25">
      <c r="A7952" s="10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  <c r="Q7952" s="11"/>
      <c r="R7952" s="11"/>
      <c r="S7952" s="11"/>
    </row>
    <row r="7953" spans="1:19" s="9" customFormat="1" x14ac:dyDescent="0.25">
      <c r="A7953" s="10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  <c r="Q7953" s="11"/>
      <c r="R7953" s="11"/>
      <c r="S7953" s="11"/>
    </row>
    <row r="7954" spans="1:19" s="9" customFormat="1" x14ac:dyDescent="0.25">
      <c r="A7954" s="10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  <c r="Q7954" s="11"/>
      <c r="R7954" s="11"/>
      <c r="S7954" s="11"/>
    </row>
    <row r="7955" spans="1:19" s="9" customFormat="1" x14ac:dyDescent="0.25">
      <c r="A7955" s="10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  <c r="Q7955" s="11"/>
      <c r="R7955" s="11"/>
      <c r="S7955" s="11"/>
    </row>
    <row r="7956" spans="1:19" s="9" customFormat="1" x14ac:dyDescent="0.25">
      <c r="A7956" s="10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  <c r="Q7956" s="11"/>
      <c r="R7956" s="11"/>
      <c r="S7956" s="11"/>
    </row>
    <row r="7957" spans="1:19" s="9" customFormat="1" x14ac:dyDescent="0.25">
      <c r="A7957" s="10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  <c r="Q7957" s="11"/>
      <c r="R7957" s="11"/>
      <c r="S7957" s="11"/>
    </row>
    <row r="7958" spans="1:19" s="9" customFormat="1" x14ac:dyDescent="0.25">
      <c r="A7958" s="10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  <c r="Q7958" s="11"/>
      <c r="R7958" s="11"/>
      <c r="S7958" s="11"/>
    </row>
    <row r="7959" spans="1:19" s="9" customFormat="1" x14ac:dyDescent="0.25">
      <c r="A7959" s="10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  <c r="Q7959" s="11"/>
      <c r="R7959" s="11"/>
      <c r="S7959" s="11"/>
    </row>
    <row r="7960" spans="1:19" s="9" customFormat="1" x14ac:dyDescent="0.25">
      <c r="A7960" s="10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  <c r="Q7960" s="11"/>
      <c r="R7960" s="11"/>
      <c r="S7960" s="11"/>
    </row>
    <row r="7961" spans="1:19" s="9" customFormat="1" x14ac:dyDescent="0.25">
      <c r="A7961" s="10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  <c r="Q7961" s="11"/>
      <c r="R7961" s="11"/>
      <c r="S7961" s="11"/>
    </row>
    <row r="7962" spans="1:19" s="9" customFormat="1" x14ac:dyDescent="0.25">
      <c r="A7962" s="10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  <c r="Q7962" s="11"/>
      <c r="R7962" s="11"/>
      <c r="S7962" s="11"/>
    </row>
    <row r="7963" spans="1:19" s="9" customFormat="1" x14ac:dyDescent="0.25">
      <c r="A7963" s="10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  <c r="Q7963" s="11"/>
      <c r="R7963" s="11"/>
      <c r="S7963" s="11"/>
    </row>
    <row r="7964" spans="1:19" s="9" customFormat="1" x14ac:dyDescent="0.25">
      <c r="A7964" s="10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  <c r="Q7964" s="11"/>
      <c r="R7964" s="11"/>
      <c r="S7964" s="11"/>
    </row>
    <row r="7965" spans="1:19" s="9" customFormat="1" x14ac:dyDescent="0.25">
      <c r="A7965" s="10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  <c r="Q7965" s="11"/>
      <c r="R7965" s="11"/>
      <c r="S7965" s="11"/>
    </row>
    <row r="7966" spans="1:19" s="9" customFormat="1" x14ac:dyDescent="0.25">
      <c r="A7966" s="10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  <c r="Q7966" s="11"/>
      <c r="R7966" s="11"/>
      <c r="S7966" s="11"/>
    </row>
    <row r="7967" spans="1:19" s="9" customFormat="1" x14ac:dyDescent="0.25">
      <c r="A7967" s="10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  <c r="Q7967" s="11"/>
      <c r="R7967" s="11"/>
      <c r="S7967" s="11"/>
    </row>
    <row r="7968" spans="1:19" s="9" customFormat="1" x14ac:dyDescent="0.25">
      <c r="A7968" s="10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  <c r="Q7968" s="11"/>
      <c r="R7968" s="11"/>
      <c r="S7968" s="11"/>
    </row>
    <row r="7969" spans="1:19" s="9" customFormat="1" x14ac:dyDescent="0.25">
      <c r="A7969" s="10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  <c r="Q7969" s="11"/>
      <c r="R7969" s="11"/>
      <c r="S7969" s="11"/>
    </row>
    <row r="7970" spans="1:19" s="9" customFormat="1" x14ac:dyDescent="0.25">
      <c r="A7970" s="10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  <c r="Q7970" s="11"/>
      <c r="R7970" s="11"/>
      <c r="S7970" s="11"/>
    </row>
    <row r="7971" spans="1:19" s="9" customFormat="1" x14ac:dyDescent="0.25">
      <c r="A7971" s="10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  <c r="Q7971" s="11"/>
      <c r="R7971" s="11"/>
      <c r="S7971" s="11"/>
    </row>
    <row r="7972" spans="1:19" s="9" customFormat="1" x14ac:dyDescent="0.25">
      <c r="A7972" s="10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  <c r="Q7972" s="11"/>
      <c r="R7972" s="11"/>
      <c r="S7972" s="11"/>
    </row>
    <row r="7973" spans="1:19" s="9" customFormat="1" x14ac:dyDescent="0.25">
      <c r="A7973" s="10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  <c r="Q7973" s="11"/>
      <c r="R7973" s="11"/>
      <c r="S7973" s="11"/>
    </row>
    <row r="7974" spans="1:19" s="9" customFormat="1" x14ac:dyDescent="0.25">
      <c r="A7974" s="10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  <c r="Q7974" s="11"/>
      <c r="R7974" s="11"/>
      <c r="S7974" s="11"/>
    </row>
    <row r="7975" spans="1:19" s="9" customFormat="1" x14ac:dyDescent="0.25">
      <c r="A7975" s="10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  <c r="Q7975" s="11"/>
      <c r="R7975" s="11"/>
      <c r="S7975" s="11"/>
    </row>
    <row r="7976" spans="1:19" s="9" customFormat="1" x14ac:dyDescent="0.25">
      <c r="A7976" s="10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  <c r="Q7976" s="11"/>
      <c r="R7976" s="11"/>
      <c r="S7976" s="11"/>
    </row>
    <row r="7977" spans="1:19" s="9" customFormat="1" x14ac:dyDescent="0.25">
      <c r="A7977" s="10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  <c r="Q7977" s="11"/>
      <c r="R7977" s="11"/>
      <c r="S7977" s="11"/>
    </row>
    <row r="7978" spans="1:19" s="9" customFormat="1" x14ac:dyDescent="0.25">
      <c r="A7978" s="10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  <c r="Q7978" s="11"/>
      <c r="R7978" s="11"/>
      <c r="S7978" s="11"/>
    </row>
    <row r="7979" spans="1:19" s="9" customFormat="1" x14ac:dyDescent="0.25">
      <c r="A7979" s="10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  <c r="Q7979" s="11"/>
      <c r="R7979" s="11"/>
      <c r="S7979" s="11"/>
    </row>
    <row r="7980" spans="1:19" s="9" customFormat="1" x14ac:dyDescent="0.25">
      <c r="A7980" s="10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  <c r="Q7980" s="11"/>
      <c r="R7980" s="11"/>
      <c r="S7980" s="11"/>
    </row>
    <row r="7981" spans="1:19" s="9" customFormat="1" x14ac:dyDescent="0.25">
      <c r="A7981" s="10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  <c r="Q7981" s="11"/>
      <c r="R7981" s="11"/>
      <c r="S7981" s="11"/>
    </row>
    <row r="7982" spans="1:19" s="9" customFormat="1" x14ac:dyDescent="0.25">
      <c r="A7982" s="10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  <c r="Q7982" s="11"/>
      <c r="R7982" s="11"/>
      <c r="S7982" s="11"/>
    </row>
    <row r="7983" spans="1:19" s="9" customFormat="1" x14ac:dyDescent="0.25">
      <c r="A7983" s="10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  <c r="Q7983" s="11"/>
      <c r="R7983" s="11"/>
      <c r="S7983" s="11"/>
    </row>
    <row r="7984" spans="1:19" s="9" customFormat="1" x14ac:dyDescent="0.25">
      <c r="A7984" s="10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  <c r="Q7984" s="11"/>
      <c r="R7984" s="11"/>
      <c r="S7984" s="11"/>
    </row>
    <row r="7985" spans="1:19" s="9" customFormat="1" x14ac:dyDescent="0.25">
      <c r="A7985" s="10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  <c r="Q7985" s="11"/>
      <c r="R7985" s="11"/>
      <c r="S7985" s="11"/>
    </row>
    <row r="7986" spans="1:19" s="9" customFormat="1" x14ac:dyDescent="0.25">
      <c r="A7986" s="10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  <c r="Q7986" s="11"/>
      <c r="R7986" s="11"/>
      <c r="S7986" s="11"/>
    </row>
    <row r="7987" spans="1:19" s="9" customFormat="1" x14ac:dyDescent="0.25">
      <c r="A7987" s="10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  <c r="Q7987" s="11"/>
      <c r="R7987" s="11"/>
      <c r="S7987" s="11"/>
    </row>
    <row r="7988" spans="1:19" s="9" customFormat="1" x14ac:dyDescent="0.25">
      <c r="A7988" s="10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  <c r="Q7988" s="11"/>
      <c r="R7988" s="11"/>
      <c r="S7988" s="11"/>
    </row>
    <row r="7989" spans="1:19" s="9" customFormat="1" x14ac:dyDescent="0.25">
      <c r="A7989" s="10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  <c r="Q7989" s="11"/>
      <c r="R7989" s="11"/>
      <c r="S7989" s="11"/>
    </row>
    <row r="7990" spans="1:19" s="9" customFormat="1" x14ac:dyDescent="0.25">
      <c r="A7990" s="10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  <c r="Q7990" s="11"/>
      <c r="R7990" s="11"/>
      <c r="S7990" s="11"/>
    </row>
    <row r="7991" spans="1:19" s="9" customFormat="1" x14ac:dyDescent="0.25">
      <c r="A7991" s="10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  <c r="Q7991" s="11"/>
      <c r="R7991" s="11"/>
      <c r="S7991" s="11"/>
    </row>
    <row r="7992" spans="1:19" s="9" customFormat="1" x14ac:dyDescent="0.25">
      <c r="A7992" s="10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  <c r="Q7992" s="11"/>
      <c r="R7992" s="11"/>
      <c r="S7992" s="11"/>
    </row>
    <row r="7993" spans="1:19" s="9" customFormat="1" x14ac:dyDescent="0.25">
      <c r="A7993" s="10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  <c r="Q7993" s="11"/>
      <c r="R7993" s="11"/>
      <c r="S7993" s="11"/>
    </row>
    <row r="7994" spans="1:19" s="9" customFormat="1" x14ac:dyDescent="0.25">
      <c r="A7994" s="10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  <c r="Q7994" s="11"/>
      <c r="R7994" s="11"/>
      <c r="S7994" s="11"/>
    </row>
    <row r="7995" spans="1:19" s="9" customFormat="1" x14ac:dyDescent="0.25">
      <c r="A7995" s="10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  <c r="Q7995" s="11"/>
      <c r="R7995" s="11"/>
      <c r="S7995" s="11"/>
    </row>
    <row r="7996" spans="1:19" s="9" customFormat="1" x14ac:dyDescent="0.25">
      <c r="A7996" s="10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  <c r="Q7996" s="11"/>
      <c r="R7996" s="11"/>
      <c r="S7996" s="11"/>
    </row>
    <row r="7997" spans="1:19" s="9" customFormat="1" x14ac:dyDescent="0.25">
      <c r="A7997" s="10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  <c r="Q7997" s="11"/>
      <c r="R7997" s="11"/>
      <c r="S7997" s="11"/>
    </row>
    <row r="7998" spans="1:19" s="9" customFormat="1" x14ac:dyDescent="0.25">
      <c r="A7998" s="10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  <c r="Q7998" s="11"/>
      <c r="R7998" s="11"/>
      <c r="S7998" s="11"/>
    </row>
    <row r="7999" spans="1:19" s="9" customFormat="1" x14ac:dyDescent="0.25">
      <c r="A7999" s="10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  <c r="Q7999" s="11"/>
      <c r="R7999" s="11"/>
      <c r="S7999" s="11"/>
    </row>
    <row r="8000" spans="1:19" s="9" customFormat="1" x14ac:dyDescent="0.25">
      <c r="A8000" s="10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  <c r="Q8000" s="11"/>
      <c r="R8000" s="11"/>
      <c r="S8000" s="11"/>
    </row>
    <row r="8001" spans="1:19" s="9" customFormat="1" x14ac:dyDescent="0.25">
      <c r="A8001" s="10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  <c r="Q8001" s="11"/>
      <c r="R8001" s="11"/>
      <c r="S8001" s="11"/>
    </row>
    <row r="8002" spans="1:19" s="9" customFormat="1" x14ac:dyDescent="0.25">
      <c r="A8002" s="10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  <c r="Q8002" s="11"/>
      <c r="R8002" s="11"/>
      <c r="S8002" s="11"/>
    </row>
    <row r="8003" spans="1:19" s="9" customFormat="1" x14ac:dyDescent="0.25">
      <c r="A8003" s="10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  <c r="Q8003" s="11"/>
      <c r="R8003" s="11"/>
      <c r="S8003" s="11"/>
    </row>
    <row r="8004" spans="1:19" s="9" customFormat="1" x14ac:dyDescent="0.25">
      <c r="A8004" s="10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  <c r="Q8004" s="11"/>
      <c r="R8004" s="11"/>
      <c r="S8004" s="11"/>
    </row>
    <row r="8005" spans="1:19" s="9" customFormat="1" x14ac:dyDescent="0.25">
      <c r="A8005" s="10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  <c r="Q8005" s="11"/>
      <c r="R8005" s="11"/>
      <c r="S8005" s="11"/>
    </row>
    <row r="8006" spans="1:19" s="9" customFormat="1" x14ac:dyDescent="0.25">
      <c r="A8006" s="10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  <c r="Q8006" s="11"/>
      <c r="R8006" s="11"/>
      <c r="S8006" s="11"/>
    </row>
    <row r="8007" spans="1:19" s="9" customFormat="1" x14ac:dyDescent="0.25">
      <c r="A8007" s="10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  <c r="Q8007" s="11"/>
      <c r="R8007" s="11"/>
      <c r="S8007" s="11"/>
    </row>
    <row r="8008" spans="1:19" s="9" customFormat="1" x14ac:dyDescent="0.25">
      <c r="A8008" s="10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  <c r="Q8008" s="11"/>
      <c r="R8008" s="11"/>
      <c r="S8008" s="11"/>
    </row>
    <row r="8009" spans="1:19" s="9" customFormat="1" x14ac:dyDescent="0.25">
      <c r="A8009" s="10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  <c r="Q8009" s="11"/>
      <c r="R8009" s="11"/>
      <c r="S8009" s="11"/>
    </row>
    <row r="8010" spans="1:19" s="9" customFormat="1" x14ac:dyDescent="0.25">
      <c r="A8010" s="10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  <c r="Q8010" s="11"/>
      <c r="R8010" s="11"/>
      <c r="S8010" s="11"/>
    </row>
    <row r="8011" spans="1:19" s="9" customFormat="1" x14ac:dyDescent="0.25">
      <c r="A8011" s="10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  <c r="Q8011" s="11"/>
      <c r="R8011" s="11"/>
      <c r="S8011" s="11"/>
    </row>
    <row r="8012" spans="1:19" s="9" customFormat="1" x14ac:dyDescent="0.25">
      <c r="A8012" s="10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  <c r="Q8012" s="11"/>
      <c r="R8012" s="11"/>
      <c r="S8012" s="11"/>
    </row>
    <row r="8013" spans="1:19" s="9" customFormat="1" x14ac:dyDescent="0.25">
      <c r="A8013" s="10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  <c r="Q8013" s="11"/>
      <c r="R8013" s="11"/>
      <c r="S8013" s="11"/>
    </row>
    <row r="8014" spans="1:19" s="9" customFormat="1" x14ac:dyDescent="0.25">
      <c r="A8014" s="10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  <c r="Q8014" s="11"/>
      <c r="R8014" s="11"/>
      <c r="S8014" s="11"/>
    </row>
    <row r="8015" spans="1:19" s="9" customFormat="1" x14ac:dyDescent="0.25">
      <c r="A8015" s="10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  <c r="Q8015" s="11"/>
      <c r="R8015" s="11"/>
      <c r="S8015" s="11"/>
    </row>
    <row r="8016" spans="1:19" s="9" customFormat="1" x14ac:dyDescent="0.25">
      <c r="A8016" s="10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  <c r="Q8016" s="11"/>
      <c r="R8016" s="11"/>
      <c r="S8016" s="11"/>
    </row>
    <row r="8017" spans="1:19" s="9" customFormat="1" x14ac:dyDescent="0.25">
      <c r="A8017" s="10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  <c r="Q8017" s="11"/>
      <c r="R8017" s="11"/>
      <c r="S8017" s="11"/>
    </row>
    <row r="8018" spans="1:19" s="9" customFormat="1" x14ac:dyDescent="0.25">
      <c r="A8018" s="10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  <c r="Q8018" s="11"/>
      <c r="R8018" s="11"/>
      <c r="S8018" s="11"/>
    </row>
    <row r="8019" spans="1:19" s="9" customFormat="1" x14ac:dyDescent="0.25">
      <c r="A8019" s="10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  <c r="Q8019" s="11"/>
      <c r="R8019" s="11"/>
      <c r="S8019" s="11"/>
    </row>
    <row r="8020" spans="1:19" s="9" customFormat="1" x14ac:dyDescent="0.25">
      <c r="A8020" s="10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  <c r="Q8020" s="11"/>
      <c r="R8020" s="11"/>
      <c r="S8020" s="11"/>
    </row>
    <row r="8021" spans="1:19" s="9" customFormat="1" x14ac:dyDescent="0.25">
      <c r="A8021" s="10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  <c r="Q8021" s="11"/>
      <c r="R8021" s="11"/>
      <c r="S8021" s="11"/>
    </row>
    <row r="8022" spans="1:19" s="9" customFormat="1" x14ac:dyDescent="0.25">
      <c r="A8022" s="10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  <c r="Q8022" s="11"/>
      <c r="R8022" s="11"/>
      <c r="S8022" s="11"/>
    </row>
    <row r="8023" spans="1:19" s="9" customFormat="1" x14ac:dyDescent="0.25">
      <c r="A8023" s="10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  <c r="Q8023" s="11"/>
      <c r="R8023" s="11"/>
      <c r="S8023" s="11"/>
    </row>
    <row r="8024" spans="1:19" s="9" customFormat="1" x14ac:dyDescent="0.25">
      <c r="A8024" s="10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  <c r="Q8024" s="11"/>
      <c r="R8024" s="11"/>
      <c r="S8024" s="11"/>
    </row>
    <row r="8025" spans="1:19" s="9" customFormat="1" x14ac:dyDescent="0.25">
      <c r="A8025" s="10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  <c r="Q8025" s="11"/>
      <c r="R8025" s="11"/>
      <c r="S8025" s="11"/>
    </row>
    <row r="8026" spans="1:19" s="9" customFormat="1" x14ac:dyDescent="0.25">
      <c r="A8026" s="10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  <c r="Q8026" s="11"/>
      <c r="R8026" s="11"/>
      <c r="S8026" s="11"/>
    </row>
    <row r="8027" spans="1:19" s="9" customFormat="1" x14ac:dyDescent="0.25">
      <c r="A8027" s="10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  <c r="Q8027" s="11"/>
      <c r="R8027" s="11"/>
      <c r="S8027" s="11"/>
    </row>
    <row r="8028" spans="1:19" s="9" customFormat="1" x14ac:dyDescent="0.25">
      <c r="A8028" s="10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  <c r="Q8028" s="11"/>
      <c r="R8028" s="11"/>
      <c r="S8028" s="11"/>
    </row>
    <row r="8029" spans="1:19" s="9" customFormat="1" x14ac:dyDescent="0.25">
      <c r="A8029" s="10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  <c r="Q8029" s="11"/>
      <c r="R8029" s="11"/>
      <c r="S8029" s="11"/>
    </row>
    <row r="8030" spans="1:19" s="9" customFormat="1" x14ac:dyDescent="0.25">
      <c r="A8030" s="10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  <c r="Q8030" s="11"/>
      <c r="R8030" s="11"/>
      <c r="S8030" s="11"/>
    </row>
    <row r="8031" spans="1:19" s="9" customFormat="1" x14ac:dyDescent="0.25">
      <c r="A8031" s="10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  <c r="Q8031" s="11"/>
      <c r="R8031" s="11"/>
      <c r="S8031" s="11"/>
    </row>
    <row r="8032" spans="1:19" s="9" customFormat="1" x14ac:dyDescent="0.25">
      <c r="A8032" s="10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  <c r="Q8032" s="11"/>
      <c r="R8032" s="11"/>
      <c r="S8032" s="11"/>
    </row>
    <row r="8033" spans="1:19" s="9" customFormat="1" x14ac:dyDescent="0.25">
      <c r="A8033" s="10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  <c r="Q8033" s="11"/>
      <c r="R8033" s="11"/>
      <c r="S8033" s="11"/>
    </row>
    <row r="8034" spans="1:19" s="9" customFormat="1" x14ac:dyDescent="0.25">
      <c r="A8034" s="10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  <c r="Q8034" s="11"/>
      <c r="R8034" s="11"/>
      <c r="S8034" s="11"/>
    </row>
    <row r="8035" spans="1:19" s="9" customFormat="1" x14ac:dyDescent="0.25">
      <c r="A8035" s="10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  <c r="Q8035" s="11"/>
      <c r="R8035" s="11"/>
      <c r="S8035" s="11"/>
    </row>
    <row r="8036" spans="1:19" s="9" customFormat="1" x14ac:dyDescent="0.25">
      <c r="A8036" s="10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  <c r="Q8036" s="11"/>
      <c r="R8036" s="11"/>
      <c r="S8036" s="11"/>
    </row>
    <row r="8037" spans="1:19" s="9" customFormat="1" x14ac:dyDescent="0.25">
      <c r="A8037" s="10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  <c r="Q8037" s="11"/>
      <c r="R8037" s="11"/>
      <c r="S8037" s="11"/>
    </row>
    <row r="8038" spans="1:19" s="9" customFormat="1" x14ac:dyDescent="0.25">
      <c r="A8038" s="10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  <c r="Q8038" s="11"/>
      <c r="R8038" s="11"/>
      <c r="S8038" s="11"/>
    </row>
    <row r="8039" spans="1:19" s="9" customFormat="1" x14ac:dyDescent="0.25">
      <c r="A8039" s="10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  <c r="Q8039" s="11"/>
      <c r="R8039" s="11"/>
      <c r="S8039" s="11"/>
    </row>
    <row r="8040" spans="1:19" s="9" customFormat="1" x14ac:dyDescent="0.25">
      <c r="A8040" s="10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  <c r="Q8040" s="11"/>
      <c r="R8040" s="11"/>
      <c r="S8040" s="11"/>
    </row>
    <row r="8041" spans="1:19" s="9" customFormat="1" x14ac:dyDescent="0.25">
      <c r="A8041" s="10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  <c r="Q8041" s="11"/>
      <c r="R8041" s="11"/>
      <c r="S8041" s="11"/>
    </row>
    <row r="8042" spans="1:19" s="9" customFormat="1" x14ac:dyDescent="0.25">
      <c r="A8042" s="10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  <c r="Q8042" s="11"/>
      <c r="R8042" s="11"/>
      <c r="S8042" s="11"/>
    </row>
    <row r="8043" spans="1:19" s="9" customFormat="1" x14ac:dyDescent="0.25">
      <c r="A8043" s="10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  <c r="Q8043" s="11"/>
      <c r="R8043" s="11"/>
      <c r="S8043" s="11"/>
    </row>
    <row r="8044" spans="1:19" s="9" customFormat="1" x14ac:dyDescent="0.25">
      <c r="A8044" s="10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  <c r="Q8044" s="11"/>
      <c r="R8044" s="11"/>
      <c r="S8044" s="11"/>
    </row>
    <row r="8045" spans="1:19" s="9" customFormat="1" x14ac:dyDescent="0.25">
      <c r="A8045" s="10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  <c r="Q8045" s="11"/>
      <c r="R8045" s="11"/>
      <c r="S8045" s="11"/>
    </row>
    <row r="8046" spans="1:19" s="9" customFormat="1" x14ac:dyDescent="0.25">
      <c r="A8046" s="10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  <c r="Q8046" s="11"/>
      <c r="R8046" s="11"/>
      <c r="S8046" s="11"/>
    </row>
    <row r="8047" spans="1:19" s="9" customFormat="1" x14ac:dyDescent="0.25">
      <c r="A8047" s="10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  <c r="Q8047" s="11"/>
      <c r="R8047" s="11"/>
      <c r="S8047" s="11"/>
    </row>
    <row r="8048" spans="1:19" s="9" customFormat="1" x14ac:dyDescent="0.25">
      <c r="A8048" s="10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  <c r="Q8048" s="11"/>
      <c r="R8048" s="11"/>
      <c r="S8048" s="11"/>
    </row>
    <row r="8049" spans="1:19" s="9" customFormat="1" x14ac:dyDescent="0.25">
      <c r="A8049" s="10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  <c r="Q8049" s="11"/>
      <c r="R8049" s="11"/>
      <c r="S8049" s="11"/>
    </row>
    <row r="8050" spans="1:19" s="9" customFormat="1" x14ac:dyDescent="0.25">
      <c r="A8050" s="10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  <c r="Q8050" s="11"/>
      <c r="R8050" s="11"/>
      <c r="S8050" s="11"/>
    </row>
    <row r="8051" spans="1:19" s="9" customFormat="1" x14ac:dyDescent="0.25">
      <c r="A8051" s="10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  <c r="Q8051" s="11"/>
      <c r="R8051" s="11"/>
      <c r="S8051" s="11"/>
    </row>
    <row r="8052" spans="1:19" s="9" customFormat="1" x14ac:dyDescent="0.25">
      <c r="A8052" s="10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  <c r="Q8052" s="11"/>
      <c r="R8052" s="11"/>
      <c r="S8052" s="11"/>
    </row>
    <row r="8053" spans="1:19" s="9" customFormat="1" x14ac:dyDescent="0.25">
      <c r="A8053" s="10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  <c r="Q8053" s="11"/>
      <c r="R8053" s="11"/>
      <c r="S8053" s="11"/>
    </row>
    <row r="8054" spans="1:19" s="9" customFormat="1" x14ac:dyDescent="0.25">
      <c r="A8054" s="10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  <c r="Q8054" s="11"/>
      <c r="R8054" s="11"/>
      <c r="S8054" s="11"/>
    </row>
    <row r="8055" spans="1:19" s="9" customFormat="1" x14ac:dyDescent="0.25">
      <c r="A8055" s="10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  <c r="Q8055" s="11"/>
      <c r="R8055" s="11"/>
      <c r="S8055" s="11"/>
    </row>
    <row r="8056" spans="1:19" s="9" customFormat="1" x14ac:dyDescent="0.25">
      <c r="A8056" s="10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  <c r="Q8056" s="11"/>
      <c r="R8056" s="11"/>
      <c r="S8056" s="11"/>
    </row>
    <row r="8057" spans="1:19" s="9" customFormat="1" x14ac:dyDescent="0.25">
      <c r="A8057" s="10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  <c r="Q8057" s="11"/>
      <c r="R8057" s="11"/>
      <c r="S8057" s="11"/>
    </row>
    <row r="8058" spans="1:19" s="9" customFormat="1" x14ac:dyDescent="0.25">
      <c r="A8058" s="10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  <c r="Q8058" s="11"/>
      <c r="R8058" s="11"/>
      <c r="S8058" s="11"/>
    </row>
    <row r="8059" spans="1:19" s="9" customFormat="1" x14ac:dyDescent="0.25">
      <c r="A8059" s="10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  <c r="Q8059" s="11"/>
      <c r="R8059" s="11"/>
      <c r="S8059" s="11"/>
    </row>
    <row r="8060" spans="1:19" s="9" customFormat="1" x14ac:dyDescent="0.25">
      <c r="A8060" s="10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  <c r="Q8060" s="11"/>
      <c r="R8060" s="11"/>
      <c r="S8060" s="11"/>
    </row>
    <row r="8061" spans="1:19" s="9" customFormat="1" x14ac:dyDescent="0.25">
      <c r="A8061" s="10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  <c r="Q8061" s="11"/>
      <c r="R8061" s="11"/>
      <c r="S8061" s="11"/>
    </row>
    <row r="8062" spans="1:19" s="9" customFormat="1" x14ac:dyDescent="0.25">
      <c r="A8062" s="10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  <c r="Q8062" s="11"/>
      <c r="R8062" s="11"/>
      <c r="S8062" s="11"/>
    </row>
    <row r="8063" spans="1:19" s="9" customFormat="1" x14ac:dyDescent="0.25">
      <c r="A8063" s="10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  <c r="Q8063" s="11"/>
      <c r="R8063" s="11"/>
      <c r="S8063" s="11"/>
    </row>
    <row r="8064" spans="1:19" s="9" customFormat="1" x14ac:dyDescent="0.25">
      <c r="A8064" s="10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  <c r="Q8064" s="11"/>
      <c r="R8064" s="11"/>
      <c r="S8064" s="11"/>
    </row>
    <row r="8065" spans="1:19" s="9" customFormat="1" x14ac:dyDescent="0.25">
      <c r="A8065" s="10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  <c r="Q8065" s="11"/>
      <c r="R8065" s="11"/>
      <c r="S8065" s="11"/>
    </row>
    <row r="8066" spans="1:19" s="9" customFormat="1" x14ac:dyDescent="0.25">
      <c r="A8066" s="10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  <c r="Q8066" s="11"/>
      <c r="R8066" s="11"/>
      <c r="S8066" s="11"/>
    </row>
    <row r="8067" spans="1:19" s="9" customFormat="1" x14ac:dyDescent="0.25">
      <c r="A8067" s="10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  <c r="Q8067" s="11"/>
      <c r="R8067" s="11"/>
      <c r="S8067" s="11"/>
    </row>
    <row r="8068" spans="1:19" s="9" customFormat="1" x14ac:dyDescent="0.25">
      <c r="A8068" s="10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  <c r="Q8068" s="11"/>
      <c r="R8068" s="11"/>
      <c r="S8068" s="11"/>
    </row>
    <row r="8069" spans="1:19" s="9" customFormat="1" x14ac:dyDescent="0.25">
      <c r="A8069" s="10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  <c r="Q8069" s="11"/>
      <c r="R8069" s="11"/>
      <c r="S8069" s="11"/>
    </row>
    <row r="8070" spans="1:19" s="9" customFormat="1" x14ac:dyDescent="0.25">
      <c r="A8070" s="10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  <c r="Q8070" s="11"/>
      <c r="R8070" s="11"/>
      <c r="S8070" s="11"/>
    </row>
    <row r="8071" spans="1:19" s="9" customFormat="1" x14ac:dyDescent="0.25">
      <c r="A8071" s="10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  <c r="Q8071" s="11"/>
      <c r="R8071" s="11"/>
      <c r="S8071" s="11"/>
    </row>
    <row r="8072" spans="1:19" s="9" customFormat="1" x14ac:dyDescent="0.25">
      <c r="A8072" s="10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  <c r="Q8072" s="11"/>
      <c r="R8072" s="11"/>
      <c r="S8072" s="11"/>
    </row>
    <row r="8073" spans="1:19" s="9" customFormat="1" x14ac:dyDescent="0.25">
      <c r="A8073" s="10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  <c r="Q8073" s="11"/>
      <c r="R8073" s="11"/>
      <c r="S8073" s="11"/>
    </row>
    <row r="8074" spans="1:19" s="9" customFormat="1" x14ac:dyDescent="0.25">
      <c r="A8074" s="10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  <c r="Q8074" s="11"/>
      <c r="R8074" s="11"/>
      <c r="S8074" s="11"/>
    </row>
    <row r="8075" spans="1:19" s="9" customFormat="1" x14ac:dyDescent="0.25">
      <c r="A8075" s="10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  <c r="Q8075" s="11"/>
      <c r="R8075" s="11"/>
      <c r="S8075" s="11"/>
    </row>
    <row r="8076" spans="1:19" s="9" customFormat="1" x14ac:dyDescent="0.25">
      <c r="A8076" s="10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  <c r="Q8076" s="11"/>
      <c r="R8076" s="11"/>
      <c r="S8076" s="11"/>
    </row>
    <row r="8077" spans="1:19" s="9" customFormat="1" x14ac:dyDescent="0.25">
      <c r="A8077" s="10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  <c r="Q8077" s="11"/>
      <c r="R8077" s="11"/>
      <c r="S8077" s="11"/>
    </row>
    <row r="8078" spans="1:19" s="9" customFormat="1" x14ac:dyDescent="0.25">
      <c r="A8078" s="10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  <c r="Q8078" s="11"/>
      <c r="R8078" s="11"/>
      <c r="S8078" s="11"/>
    </row>
    <row r="8079" spans="1:19" s="9" customFormat="1" x14ac:dyDescent="0.25">
      <c r="A8079" s="10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  <c r="Q8079" s="11"/>
      <c r="R8079" s="11"/>
      <c r="S8079" s="11"/>
    </row>
    <row r="8080" spans="1:19" s="9" customFormat="1" x14ac:dyDescent="0.25">
      <c r="A8080" s="10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  <c r="Q8080" s="11"/>
      <c r="R8080" s="11"/>
      <c r="S8080" s="11"/>
    </row>
    <row r="8081" spans="1:19" s="9" customFormat="1" x14ac:dyDescent="0.25">
      <c r="A8081" s="10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  <c r="Q8081" s="11"/>
      <c r="R8081" s="11"/>
      <c r="S8081" s="11"/>
    </row>
    <row r="8082" spans="1:19" s="9" customFormat="1" x14ac:dyDescent="0.25">
      <c r="A8082" s="10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  <c r="Q8082" s="11"/>
      <c r="R8082" s="11"/>
      <c r="S8082" s="11"/>
    </row>
    <row r="8083" spans="1:19" s="9" customFormat="1" x14ac:dyDescent="0.25">
      <c r="A8083" s="10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  <c r="Q8083" s="11"/>
      <c r="R8083" s="11"/>
      <c r="S8083" s="11"/>
    </row>
    <row r="8084" spans="1:19" s="9" customFormat="1" x14ac:dyDescent="0.25">
      <c r="A8084" s="10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  <c r="Q8084" s="11"/>
      <c r="R8084" s="11"/>
      <c r="S8084" s="11"/>
    </row>
    <row r="8085" spans="1:19" s="9" customFormat="1" x14ac:dyDescent="0.25">
      <c r="A8085" s="10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  <c r="Q8085" s="11"/>
      <c r="R8085" s="11"/>
      <c r="S8085" s="11"/>
    </row>
    <row r="8086" spans="1:19" s="9" customFormat="1" x14ac:dyDescent="0.25">
      <c r="A8086" s="10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  <c r="Q8086" s="11"/>
      <c r="R8086" s="11"/>
      <c r="S8086" s="11"/>
    </row>
    <row r="8087" spans="1:19" s="9" customFormat="1" x14ac:dyDescent="0.25">
      <c r="A8087" s="10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  <c r="Q8087" s="11"/>
      <c r="R8087" s="11"/>
      <c r="S8087" s="11"/>
    </row>
    <row r="8088" spans="1:19" s="9" customFormat="1" x14ac:dyDescent="0.25">
      <c r="A8088" s="10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  <c r="Q8088" s="11"/>
      <c r="R8088" s="11"/>
      <c r="S8088" s="11"/>
    </row>
    <row r="8089" spans="1:19" s="9" customFormat="1" x14ac:dyDescent="0.25">
      <c r="A8089" s="10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  <c r="Q8089" s="11"/>
      <c r="R8089" s="11"/>
      <c r="S8089" s="11"/>
    </row>
    <row r="8090" spans="1:19" s="9" customFormat="1" x14ac:dyDescent="0.25">
      <c r="A8090" s="10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  <c r="Q8090" s="11"/>
      <c r="R8090" s="11"/>
      <c r="S8090" s="11"/>
    </row>
    <row r="8091" spans="1:19" s="9" customFormat="1" x14ac:dyDescent="0.25">
      <c r="A8091" s="10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  <c r="Q8091" s="11"/>
      <c r="R8091" s="11"/>
      <c r="S8091" s="11"/>
    </row>
    <row r="8092" spans="1:19" s="9" customFormat="1" x14ac:dyDescent="0.25">
      <c r="A8092" s="10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  <c r="Q8092" s="11"/>
      <c r="R8092" s="11"/>
      <c r="S8092" s="11"/>
    </row>
    <row r="8093" spans="1:19" s="9" customFormat="1" x14ac:dyDescent="0.25">
      <c r="A8093" s="10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  <c r="Q8093" s="11"/>
      <c r="R8093" s="11"/>
      <c r="S8093" s="11"/>
    </row>
    <row r="8094" spans="1:19" s="9" customFormat="1" x14ac:dyDescent="0.25">
      <c r="A8094" s="10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  <c r="Q8094" s="11"/>
      <c r="R8094" s="11"/>
      <c r="S8094" s="11"/>
    </row>
    <row r="8095" spans="1:19" s="9" customFormat="1" x14ac:dyDescent="0.25">
      <c r="A8095" s="10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  <c r="Q8095" s="11"/>
      <c r="R8095" s="11"/>
      <c r="S8095" s="11"/>
    </row>
    <row r="8096" spans="1:19" s="9" customFormat="1" x14ac:dyDescent="0.25">
      <c r="A8096" s="10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  <c r="Q8096" s="11"/>
      <c r="R8096" s="11"/>
      <c r="S8096" s="11"/>
    </row>
    <row r="8097" spans="1:19" s="9" customFormat="1" x14ac:dyDescent="0.25">
      <c r="A8097" s="10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  <c r="Q8097" s="11"/>
      <c r="R8097" s="11"/>
      <c r="S8097" s="11"/>
    </row>
    <row r="8098" spans="1:19" s="9" customFormat="1" x14ac:dyDescent="0.25">
      <c r="A8098" s="10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  <c r="Q8098" s="11"/>
      <c r="R8098" s="11"/>
      <c r="S8098" s="11"/>
    </row>
    <row r="8099" spans="1:19" s="9" customFormat="1" x14ac:dyDescent="0.25">
      <c r="A8099" s="10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  <c r="Q8099" s="11"/>
      <c r="R8099" s="11"/>
      <c r="S8099" s="11"/>
    </row>
    <row r="8100" spans="1:19" s="9" customFormat="1" x14ac:dyDescent="0.25">
      <c r="A8100" s="10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  <c r="Q8100" s="11"/>
      <c r="R8100" s="11"/>
      <c r="S8100" s="11"/>
    </row>
    <row r="8101" spans="1:19" s="9" customFormat="1" x14ac:dyDescent="0.25">
      <c r="A8101" s="10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  <c r="Q8101" s="11"/>
      <c r="R8101" s="11"/>
      <c r="S8101" s="11"/>
    </row>
    <row r="8102" spans="1:19" s="9" customFormat="1" x14ac:dyDescent="0.25">
      <c r="A8102" s="10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  <c r="Q8102" s="11"/>
      <c r="R8102" s="11"/>
      <c r="S8102" s="11"/>
    </row>
    <row r="8103" spans="1:19" s="9" customFormat="1" x14ac:dyDescent="0.25">
      <c r="A8103" s="10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  <c r="Q8103" s="11"/>
      <c r="R8103" s="11"/>
      <c r="S8103" s="11"/>
    </row>
    <row r="8104" spans="1:19" s="9" customFormat="1" x14ac:dyDescent="0.25">
      <c r="A8104" s="10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  <c r="Q8104" s="11"/>
      <c r="R8104" s="11"/>
      <c r="S8104" s="11"/>
    </row>
    <row r="8105" spans="1:19" s="9" customFormat="1" x14ac:dyDescent="0.25">
      <c r="A8105" s="10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  <c r="Q8105" s="11"/>
      <c r="R8105" s="11"/>
      <c r="S8105" s="11"/>
    </row>
    <row r="8106" spans="1:19" s="9" customFormat="1" x14ac:dyDescent="0.25">
      <c r="A8106" s="10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  <c r="Q8106" s="11"/>
      <c r="R8106" s="11"/>
      <c r="S8106" s="11"/>
    </row>
    <row r="8107" spans="1:19" s="9" customFormat="1" x14ac:dyDescent="0.25">
      <c r="A8107" s="10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  <c r="Q8107" s="11"/>
      <c r="R8107" s="11"/>
      <c r="S8107" s="11"/>
    </row>
    <row r="8108" spans="1:19" s="9" customFormat="1" x14ac:dyDescent="0.25">
      <c r="A8108" s="10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  <c r="Q8108" s="11"/>
      <c r="R8108" s="11"/>
      <c r="S8108" s="11"/>
    </row>
    <row r="8109" spans="1:19" s="9" customFormat="1" x14ac:dyDescent="0.25">
      <c r="A8109" s="10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  <c r="Q8109" s="11"/>
      <c r="R8109" s="11"/>
      <c r="S8109" s="11"/>
    </row>
    <row r="8110" spans="1:19" s="9" customFormat="1" x14ac:dyDescent="0.25">
      <c r="A8110" s="10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  <c r="Q8110" s="11"/>
      <c r="R8110" s="11"/>
      <c r="S8110" s="11"/>
    </row>
    <row r="8111" spans="1:19" s="9" customFormat="1" x14ac:dyDescent="0.25">
      <c r="A8111" s="10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  <c r="Q8111" s="11"/>
      <c r="R8111" s="11"/>
      <c r="S8111" s="11"/>
    </row>
    <row r="8112" spans="1:19" s="9" customFormat="1" x14ac:dyDescent="0.25">
      <c r="A8112" s="10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  <c r="Q8112" s="11"/>
      <c r="R8112" s="11"/>
      <c r="S8112" s="11"/>
    </row>
    <row r="8113" spans="1:19" s="9" customFormat="1" x14ac:dyDescent="0.25">
      <c r="A8113" s="10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  <c r="Q8113" s="11"/>
      <c r="R8113" s="11"/>
      <c r="S8113" s="11"/>
    </row>
    <row r="8114" spans="1:19" s="9" customFormat="1" x14ac:dyDescent="0.25">
      <c r="A8114" s="10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  <c r="Q8114" s="11"/>
      <c r="R8114" s="11"/>
      <c r="S8114" s="11"/>
    </row>
    <row r="8115" spans="1:19" s="9" customFormat="1" x14ac:dyDescent="0.25">
      <c r="A8115" s="10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  <c r="Q8115" s="11"/>
      <c r="R8115" s="11"/>
      <c r="S8115" s="11"/>
    </row>
    <row r="8116" spans="1:19" s="9" customFormat="1" x14ac:dyDescent="0.25">
      <c r="A8116" s="10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  <c r="Q8116" s="11"/>
      <c r="R8116" s="11"/>
      <c r="S8116" s="11"/>
    </row>
    <row r="8117" spans="1:19" s="9" customFormat="1" x14ac:dyDescent="0.25">
      <c r="A8117" s="10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  <c r="Q8117" s="11"/>
      <c r="R8117" s="11"/>
      <c r="S8117" s="11"/>
    </row>
    <row r="8118" spans="1:19" s="9" customFormat="1" x14ac:dyDescent="0.25">
      <c r="A8118" s="10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  <c r="Q8118" s="11"/>
      <c r="R8118" s="11"/>
      <c r="S8118" s="11"/>
    </row>
    <row r="8119" spans="1:19" s="9" customFormat="1" x14ac:dyDescent="0.25">
      <c r="A8119" s="10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  <c r="Q8119" s="11"/>
      <c r="R8119" s="11"/>
      <c r="S8119" s="11"/>
    </row>
    <row r="8120" spans="1:19" s="9" customFormat="1" x14ac:dyDescent="0.25">
      <c r="A8120" s="10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  <c r="Q8120" s="11"/>
      <c r="R8120" s="11"/>
      <c r="S8120" s="11"/>
    </row>
    <row r="8121" spans="1:19" s="9" customFormat="1" x14ac:dyDescent="0.25">
      <c r="A8121" s="10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  <c r="Q8121" s="11"/>
      <c r="R8121" s="11"/>
      <c r="S8121" s="11"/>
    </row>
    <row r="8122" spans="1:19" s="9" customFormat="1" x14ac:dyDescent="0.25">
      <c r="A8122" s="10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  <c r="Q8122" s="11"/>
      <c r="R8122" s="11"/>
      <c r="S8122" s="11"/>
    </row>
    <row r="8123" spans="1:19" s="9" customFormat="1" x14ac:dyDescent="0.25">
      <c r="A8123" s="10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  <c r="Q8123" s="11"/>
      <c r="R8123" s="11"/>
      <c r="S8123" s="11"/>
    </row>
    <row r="8124" spans="1:19" s="9" customFormat="1" x14ac:dyDescent="0.25">
      <c r="A8124" s="10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  <c r="Q8124" s="11"/>
      <c r="R8124" s="11"/>
      <c r="S8124" s="11"/>
    </row>
    <row r="8125" spans="1:19" s="9" customFormat="1" x14ac:dyDescent="0.25">
      <c r="A8125" s="10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  <c r="Q8125" s="11"/>
      <c r="R8125" s="11"/>
      <c r="S8125" s="11"/>
    </row>
    <row r="8126" spans="1:19" s="9" customFormat="1" x14ac:dyDescent="0.25">
      <c r="A8126" s="10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  <c r="Q8126" s="11"/>
      <c r="R8126" s="11"/>
      <c r="S8126" s="11"/>
    </row>
    <row r="8127" spans="1:19" s="9" customFormat="1" x14ac:dyDescent="0.25">
      <c r="A8127" s="10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  <c r="Q8127" s="11"/>
      <c r="R8127" s="11"/>
      <c r="S8127" s="11"/>
    </row>
    <row r="8128" spans="1:19" s="9" customFormat="1" x14ac:dyDescent="0.25">
      <c r="A8128" s="10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  <c r="Q8128" s="11"/>
      <c r="R8128" s="11"/>
      <c r="S8128" s="11"/>
    </row>
    <row r="8129" spans="1:19" s="9" customFormat="1" x14ac:dyDescent="0.25">
      <c r="A8129" s="10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  <c r="Q8129" s="11"/>
      <c r="R8129" s="11"/>
      <c r="S8129" s="11"/>
    </row>
    <row r="8130" spans="1:19" s="9" customFormat="1" x14ac:dyDescent="0.25">
      <c r="A8130" s="10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  <c r="Q8130" s="11"/>
      <c r="R8130" s="11"/>
      <c r="S8130" s="11"/>
    </row>
    <row r="8131" spans="1:19" s="9" customFormat="1" x14ac:dyDescent="0.25">
      <c r="A8131" s="10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  <c r="Q8131" s="11"/>
      <c r="R8131" s="11"/>
      <c r="S8131" s="11"/>
    </row>
    <row r="8132" spans="1:19" s="9" customFormat="1" x14ac:dyDescent="0.25">
      <c r="A8132" s="10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  <c r="Q8132" s="11"/>
      <c r="R8132" s="11"/>
      <c r="S8132" s="11"/>
    </row>
    <row r="8133" spans="1:19" s="9" customFormat="1" x14ac:dyDescent="0.25">
      <c r="A8133" s="10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  <c r="Q8133" s="11"/>
      <c r="R8133" s="11"/>
      <c r="S8133" s="11"/>
    </row>
    <row r="8134" spans="1:19" s="9" customFormat="1" x14ac:dyDescent="0.25">
      <c r="A8134" s="10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  <c r="Q8134" s="11"/>
      <c r="R8134" s="11"/>
      <c r="S8134" s="11"/>
    </row>
    <row r="8135" spans="1:19" s="9" customFormat="1" x14ac:dyDescent="0.25">
      <c r="A8135" s="10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  <c r="Q8135" s="11"/>
      <c r="R8135" s="11"/>
      <c r="S8135" s="11"/>
    </row>
    <row r="8136" spans="1:19" s="9" customFormat="1" x14ac:dyDescent="0.25">
      <c r="A8136" s="10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  <c r="Q8136" s="11"/>
      <c r="R8136" s="11"/>
      <c r="S8136" s="11"/>
    </row>
    <row r="8137" spans="1:19" s="9" customFormat="1" x14ac:dyDescent="0.25">
      <c r="A8137" s="10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  <c r="Q8137" s="11"/>
      <c r="R8137" s="11"/>
      <c r="S8137" s="11"/>
    </row>
    <row r="8138" spans="1:19" s="9" customFormat="1" x14ac:dyDescent="0.25">
      <c r="A8138" s="10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  <c r="Q8138" s="11"/>
      <c r="R8138" s="11"/>
      <c r="S8138" s="11"/>
    </row>
    <row r="8139" spans="1:19" s="9" customFormat="1" x14ac:dyDescent="0.25">
      <c r="A8139" s="10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  <c r="Q8139" s="11"/>
      <c r="R8139" s="11"/>
      <c r="S8139" s="11"/>
    </row>
    <row r="8140" spans="1:19" s="9" customFormat="1" x14ac:dyDescent="0.25">
      <c r="A8140" s="10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  <c r="Q8140" s="11"/>
      <c r="R8140" s="11"/>
      <c r="S8140" s="11"/>
    </row>
    <row r="8141" spans="1:19" s="9" customFormat="1" x14ac:dyDescent="0.25">
      <c r="A8141" s="10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  <c r="Q8141" s="11"/>
      <c r="R8141" s="11"/>
      <c r="S8141" s="11"/>
    </row>
    <row r="8142" spans="1:19" s="9" customFormat="1" x14ac:dyDescent="0.25">
      <c r="A8142" s="10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  <c r="Q8142" s="11"/>
      <c r="R8142" s="11"/>
      <c r="S8142" s="11"/>
    </row>
    <row r="8143" spans="1:19" s="9" customFormat="1" x14ac:dyDescent="0.25">
      <c r="A8143" s="10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  <c r="Q8143" s="11"/>
      <c r="R8143" s="11"/>
      <c r="S8143" s="11"/>
    </row>
    <row r="8144" spans="1:19" s="9" customFormat="1" x14ac:dyDescent="0.25">
      <c r="A8144" s="10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  <c r="Q8144" s="11"/>
      <c r="R8144" s="11"/>
      <c r="S8144" s="11"/>
    </row>
    <row r="8145" spans="1:19" s="9" customFormat="1" x14ac:dyDescent="0.25">
      <c r="A8145" s="10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  <c r="Q8145" s="11"/>
      <c r="R8145" s="11"/>
      <c r="S8145" s="11"/>
    </row>
    <row r="8146" spans="1:19" s="9" customFormat="1" x14ac:dyDescent="0.25">
      <c r="A8146" s="10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  <c r="Q8146" s="11"/>
      <c r="R8146" s="11"/>
      <c r="S8146" s="11"/>
    </row>
    <row r="8147" spans="1:19" s="9" customFormat="1" x14ac:dyDescent="0.25">
      <c r="A8147" s="10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  <c r="Q8147" s="11"/>
      <c r="R8147" s="11"/>
      <c r="S8147" s="11"/>
    </row>
    <row r="8148" spans="1:19" s="9" customFormat="1" x14ac:dyDescent="0.25">
      <c r="A8148" s="10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  <c r="Q8148" s="11"/>
      <c r="R8148" s="11"/>
      <c r="S8148" s="11"/>
    </row>
    <row r="8149" spans="1:19" s="9" customFormat="1" x14ac:dyDescent="0.25">
      <c r="A8149" s="10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  <c r="Q8149" s="11"/>
      <c r="R8149" s="11"/>
      <c r="S8149" s="11"/>
    </row>
    <row r="8150" spans="1:19" s="9" customFormat="1" x14ac:dyDescent="0.25">
      <c r="A8150" s="10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  <c r="Q8150" s="11"/>
      <c r="R8150" s="11"/>
      <c r="S8150" s="11"/>
    </row>
    <row r="8151" spans="1:19" s="9" customFormat="1" x14ac:dyDescent="0.25">
      <c r="A8151" s="10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  <c r="Q8151" s="11"/>
      <c r="R8151" s="11"/>
      <c r="S8151" s="11"/>
    </row>
    <row r="8152" spans="1:19" s="9" customFormat="1" x14ac:dyDescent="0.25">
      <c r="A8152" s="10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  <c r="Q8152" s="11"/>
      <c r="R8152" s="11"/>
      <c r="S8152" s="11"/>
    </row>
    <row r="8153" spans="1:19" s="9" customFormat="1" x14ac:dyDescent="0.25">
      <c r="A8153" s="10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  <c r="Q8153" s="11"/>
      <c r="R8153" s="11"/>
      <c r="S8153" s="11"/>
    </row>
    <row r="8154" spans="1:19" s="9" customFormat="1" x14ac:dyDescent="0.25">
      <c r="A8154" s="10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  <c r="Q8154" s="11"/>
      <c r="R8154" s="11"/>
      <c r="S8154" s="11"/>
    </row>
    <row r="8155" spans="1:19" s="9" customFormat="1" x14ac:dyDescent="0.25">
      <c r="A8155" s="10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  <c r="Q8155" s="11"/>
      <c r="R8155" s="11"/>
      <c r="S8155" s="11"/>
    </row>
    <row r="8156" spans="1:19" s="9" customFormat="1" x14ac:dyDescent="0.25">
      <c r="A8156" s="10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  <c r="Q8156" s="11"/>
      <c r="R8156" s="11"/>
      <c r="S8156" s="11"/>
    </row>
    <row r="8157" spans="1:19" s="9" customFormat="1" x14ac:dyDescent="0.25">
      <c r="A8157" s="10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  <c r="Q8157" s="11"/>
      <c r="R8157" s="11"/>
      <c r="S8157" s="11"/>
    </row>
    <row r="8158" spans="1:19" s="9" customFormat="1" x14ac:dyDescent="0.25">
      <c r="A8158" s="10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  <c r="Q8158" s="11"/>
      <c r="R8158" s="11"/>
      <c r="S8158" s="11"/>
    </row>
    <row r="8159" spans="1:19" s="9" customFormat="1" x14ac:dyDescent="0.25">
      <c r="A8159" s="10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  <c r="Q8159" s="11"/>
      <c r="R8159" s="11"/>
      <c r="S8159" s="11"/>
    </row>
    <row r="8160" spans="1:19" s="9" customFormat="1" x14ac:dyDescent="0.25">
      <c r="A8160" s="10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  <c r="Q8160" s="11"/>
      <c r="R8160" s="11"/>
      <c r="S8160" s="11"/>
    </row>
    <row r="8161" spans="1:19" s="9" customFormat="1" x14ac:dyDescent="0.25">
      <c r="A8161" s="10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  <c r="Q8161" s="11"/>
      <c r="R8161" s="11"/>
      <c r="S8161" s="11"/>
    </row>
    <row r="8162" spans="1:19" s="9" customFormat="1" x14ac:dyDescent="0.25">
      <c r="A8162" s="10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  <c r="Q8162" s="11"/>
      <c r="R8162" s="11"/>
      <c r="S8162" s="11"/>
    </row>
    <row r="8163" spans="1:19" s="9" customFormat="1" x14ac:dyDescent="0.25">
      <c r="A8163" s="10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  <c r="Q8163" s="11"/>
      <c r="R8163" s="11"/>
      <c r="S8163" s="11"/>
    </row>
    <row r="8164" spans="1:19" s="9" customFormat="1" x14ac:dyDescent="0.25">
      <c r="A8164" s="10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  <c r="Q8164" s="11"/>
      <c r="R8164" s="11"/>
      <c r="S8164" s="11"/>
    </row>
    <row r="8165" spans="1:19" s="9" customFormat="1" x14ac:dyDescent="0.25">
      <c r="A8165" s="10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  <c r="Q8165" s="11"/>
      <c r="R8165" s="11"/>
      <c r="S8165" s="11"/>
    </row>
    <row r="8166" spans="1:19" s="9" customFormat="1" x14ac:dyDescent="0.25">
      <c r="A8166" s="10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  <c r="Q8166" s="11"/>
      <c r="R8166" s="11"/>
      <c r="S8166" s="11"/>
    </row>
    <row r="8167" spans="1:19" s="9" customFormat="1" x14ac:dyDescent="0.25">
      <c r="A8167" s="10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  <c r="Q8167" s="11"/>
      <c r="R8167" s="11"/>
      <c r="S8167" s="11"/>
    </row>
    <row r="8168" spans="1:19" s="9" customFormat="1" x14ac:dyDescent="0.25">
      <c r="A8168" s="10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  <c r="Q8168" s="11"/>
      <c r="R8168" s="11"/>
      <c r="S8168" s="11"/>
    </row>
    <row r="8169" spans="1:19" s="9" customFormat="1" x14ac:dyDescent="0.25">
      <c r="A8169" s="10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  <c r="Q8169" s="11"/>
      <c r="R8169" s="11"/>
      <c r="S8169" s="11"/>
    </row>
    <row r="8170" spans="1:19" s="9" customFormat="1" x14ac:dyDescent="0.25">
      <c r="A8170" s="10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  <c r="Q8170" s="11"/>
      <c r="R8170" s="11"/>
      <c r="S8170" s="11"/>
    </row>
    <row r="8171" spans="1:19" s="9" customFormat="1" x14ac:dyDescent="0.25">
      <c r="A8171" s="10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  <c r="Q8171" s="11"/>
      <c r="R8171" s="11"/>
      <c r="S8171" s="11"/>
    </row>
    <row r="8172" spans="1:19" s="9" customFormat="1" x14ac:dyDescent="0.25">
      <c r="A8172" s="10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  <c r="Q8172" s="11"/>
      <c r="R8172" s="11"/>
      <c r="S8172" s="11"/>
    </row>
    <row r="8173" spans="1:19" s="9" customFormat="1" x14ac:dyDescent="0.25">
      <c r="A8173" s="10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  <c r="Q8173" s="11"/>
      <c r="R8173" s="11"/>
      <c r="S8173" s="11"/>
    </row>
    <row r="8174" spans="1:19" s="9" customFormat="1" x14ac:dyDescent="0.25">
      <c r="A8174" s="10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  <c r="Q8174" s="11"/>
      <c r="R8174" s="11"/>
      <c r="S8174" s="11"/>
    </row>
    <row r="8175" spans="1:19" s="9" customFormat="1" x14ac:dyDescent="0.25">
      <c r="A8175" s="10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  <c r="Q8175" s="11"/>
      <c r="R8175" s="11"/>
      <c r="S8175" s="11"/>
    </row>
    <row r="8176" spans="1:19" s="9" customFormat="1" x14ac:dyDescent="0.25">
      <c r="A8176" s="10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  <c r="Q8176" s="11"/>
      <c r="R8176" s="11"/>
      <c r="S8176" s="11"/>
    </row>
    <row r="8177" spans="1:19" s="9" customFormat="1" x14ac:dyDescent="0.25">
      <c r="A8177" s="10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  <c r="Q8177" s="11"/>
      <c r="R8177" s="11"/>
      <c r="S8177" s="11"/>
    </row>
    <row r="8178" spans="1:19" s="9" customFormat="1" x14ac:dyDescent="0.25">
      <c r="A8178" s="10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  <c r="Q8178" s="11"/>
      <c r="R8178" s="11"/>
      <c r="S8178" s="11"/>
    </row>
    <row r="8179" spans="1:19" s="9" customFormat="1" x14ac:dyDescent="0.25">
      <c r="A8179" s="10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  <c r="Q8179" s="11"/>
      <c r="R8179" s="11"/>
      <c r="S8179" s="11"/>
    </row>
    <row r="8180" spans="1:19" s="9" customFormat="1" x14ac:dyDescent="0.25">
      <c r="A8180" s="10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  <c r="Q8180" s="11"/>
      <c r="R8180" s="11"/>
      <c r="S8180" s="11"/>
    </row>
    <row r="8181" spans="1:19" s="9" customFormat="1" x14ac:dyDescent="0.25">
      <c r="A8181" s="10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  <c r="Q8181" s="11"/>
      <c r="R8181" s="11"/>
      <c r="S8181" s="11"/>
    </row>
    <row r="8182" spans="1:19" s="9" customFormat="1" x14ac:dyDescent="0.25">
      <c r="A8182" s="10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  <c r="Q8182" s="11"/>
      <c r="R8182" s="11"/>
      <c r="S8182" s="11"/>
    </row>
    <row r="8183" spans="1:19" s="9" customFormat="1" x14ac:dyDescent="0.25">
      <c r="A8183" s="10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  <c r="Q8183" s="11"/>
      <c r="R8183" s="11"/>
      <c r="S8183" s="11"/>
    </row>
    <row r="8184" spans="1:19" s="9" customFormat="1" x14ac:dyDescent="0.25">
      <c r="A8184" s="10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  <c r="Q8184" s="11"/>
      <c r="R8184" s="11"/>
      <c r="S8184" s="11"/>
    </row>
    <row r="8185" spans="1:19" s="9" customFormat="1" x14ac:dyDescent="0.25">
      <c r="A8185" s="10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  <c r="Q8185" s="11"/>
      <c r="R8185" s="11"/>
      <c r="S8185" s="11"/>
    </row>
    <row r="8186" spans="1:19" s="9" customFormat="1" x14ac:dyDescent="0.25">
      <c r="A8186" s="10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  <c r="Q8186" s="11"/>
      <c r="R8186" s="11"/>
      <c r="S8186" s="11"/>
    </row>
    <row r="8187" spans="1:19" s="9" customFormat="1" x14ac:dyDescent="0.25">
      <c r="A8187" s="10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  <c r="Q8187" s="11"/>
      <c r="R8187" s="11"/>
      <c r="S8187" s="11"/>
    </row>
    <row r="8188" spans="1:19" s="9" customFormat="1" x14ac:dyDescent="0.25">
      <c r="A8188" s="10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  <c r="Q8188" s="11"/>
      <c r="R8188" s="11"/>
      <c r="S8188" s="11"/>
    </row>
    <row r="8189" spans="1:19" s="9" customFormat="1" x14ac:dyDescent="0.25">
      <c r="A8189" s="10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  <c r="Q8189" s="11"/>
      <c r="R8189" s="11"/>
      <c r="S8189" s="11"/>
    </row>
    <row r="8190" spans="1:19" s="9" customFormat="1" x14ac:dyDescent="0.25">
      <c r="A8190" s="10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  <c r="Q8190" s="11"/>
      <c r="R8190" s="11"/>
      <c r="S8190" s="11"/>
    </row>
    <row r="8191" spans="1:19" s="9" customFormat="1" x14ac:dyDescent="0.25">
      <c r="A8191" s="10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  <c r="Q8191" s="11"/>
      <c r="R8191" s="11"/>
      <c r="S8191" s="11"/>
    </row>
    <row r="8192" spans="1:19" s="9" customFormat="1" x14ac:dyDescent="0.25">
      <c r="A8192" s="10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  <c r="Q8192" s="11"/>
      <c r="R8192" s="11"/>
      <c r="S8192" s="11"/>
    </row>
    <row r="8193" spans="1:19" s="9" customFormat="1" x14ac:dyDescent="0.25">
      <c r="A8193" s="10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  <c r="Q8193" s="11"/>
      <c r="R8193" s="11"/>
      <c r="S8193" s="11"/>
    </row>
    <row r="8194" spans="1:19" s="9" customFormat="1" x14ac:dyDescent="0.25">
      <c r="A8194" s="10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  <c r="Q8194" s="11"/>
      <c r="R8194" s="11"/>
      <c r="S8194" s="11"/>
    </row>
    <row r="8195" spans="1:19" s="9" customFormat="1" x14ac:dyDescent="0.25">
      <c r="A8195" s="10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  <c r="Q8195" s="11"/>
      <c r="R8195" s="11"/>
      <c r="S8195" s="11"/>
    </row>
    <row r="8196" spans="1:19" s="9" customFormat="1" x14ac:dyDescent="0.25">
      <c r="A8196" s="10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  <c r="Q8196" s="11"/>
      <c r="R8196" s="11"/>
      <c r="S8196" s="11"/>
    </row>
    <row r="8197" spans="1:19" s="9" customFormat="1" x14ac:dyDescent="0.25">
      <c r="A8197" s="10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  <c r="Q8197" s="11"/>
      <c r="R8197" s="11"/>
      <c r="S8197" s="11"/>
    </row>
    <row r="8198" spans="1:19" s="9" customFormat="1" x14ac:dyDescent="0.25">
      <c r="A8198" s="10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  <c r="Q8198" s="11"/>
      <c r="R8198" s="11"/>
      <c r="S8198" s="11"/>
    </row>
    <row r="8199" spans="1:19" s="9" customFormat="1" x14ac:dyDescent="0.25">
      <c r="A8199" s="10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  <c r="Q8199" s="11"/>
      <c r="R8199" s="11"/>
      <c r="S8199" s="11"/>
    </row>
    <row r="8200" spans="1:19" s="9" customFormat="1" x14ac:dyDescent="0.25">
      <c r="A8200" s="10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  <c r="Q8200" s="11"/>
      <c r="R8200" s="11"/>
      <c r="S8200" s="11"/>
    </row>
    <row r="8201" spans="1:19" s="9" customFormat="1" x14ac:dyDescent="0.25">
      <c r="A8201" s="10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  <c r="Q8201" s="11"/>
      <c r="R8201" s="11"/>
      <c r="S8201" s="11"/>
    </row>
    <row r="8202" spans="1:19" s="9" customFormat="1" x14ac:dyDescent="0.25">
      <c r="A8202" s="10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  <c r="Q8202" s="11"/>
      <c r="R8202" s="11"/>
      <c r="S8202" s="11"/>
    </row>
    <row r="8203" spans="1:19" s="9" customFormat="1" x14ac:dyDescent="0.25">
      <c r="A8203" s="10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  <c r="Q8203" s="11"/>
      <c r="R8203" s="11"/>
      <c r="S8203" s="11"/>
    </row>
    <row r="8204" spans="1:19" s="9" customFormat="1" x14ac:dyDescent="0.25">
      <c r="A8204" s="10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  <c r="Q8204" s="11"/>
      <c r="R8204" s="11"/>
      <c r="S8204" s="11"/>
    </row>
    <row r="8205" spans="1:19" s="9" customFormat="1" x14ac:dyDescent="0.25">
      <c r="A8205" s="10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  <c r="Q8205" s="11"/>
      <c r="R8205" s="11"/>
      <c r="S8205" s="11"/>
    </row>
    <row r="8206" spans="1:19" s="9" customFormat="1" x14ac:dyDescent="0.25">
      <c r="A8206" s="10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  <c r="Q8206" s="11"/>
      <c r="R8206" s="11"/>
      <c r="S8206" s="11"/>
    </row>
    <row r="8207" spans="1:19" s="9" customFormat="1" x14ac:dyDescent="0.25">
      <c r="A8207" s="10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  <c r="Q8207" s="11"/>
      <c r="R8207" s="11"/>
      <c r="S8207" s="11"/>
    </row>
    <row r="8208" spans="1:19" s="9" customFormat="1" x14ac:dyDescent="0.25">
      <c r="A8208" s="10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  <c r="Q8208" s="11"/>
      <c r="R8208" s="11"/>
      <c r="S8208" s="11"/>
    </row>
    <row r="8209" spans="1:19" s="9" customFormat="1" x14ac:dyDescent="0.25">
      <c r="A8209" s="10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  <c r="Q8209" s="11"/>
      <c r="R8209" s="11"/>
      <c r="S8209" s="11"/>
    </row>
    <row r="8210" spans="1:19" s="9" customFormat="1" x14ac:dyDescent="0.25">
      <c r="A8210" s="10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  <c r="Q8210" s="11"/>
      <c r="R8210" s="11"/>
      <c r="S8210" s="11"/>
    </row>
    <row r="8211" spans="1:19" s="9" customFormat="1" x14ac:dyDescent="0.25">
      <c r="A8211" s="10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  <c r="Q8211" s="11"/>
      <c r="R8211" s="11"/>
      <c r="S8211" s="11"/>
    </row>
    <row r="8212" spans="1:19" s="9" customFormat="1" x14ac:dyDescent="0.25">
      <c r="A8212" s="10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  <c r="Q8212" s="11"/>
      <c r="R8212" s="11"/>
      <c r="S8212" s="11"/>
    </row>
    <row r="8213" spans="1:19" s="9" customFormat="1" x14ac:dyDescent="0.25">
      <c r="A8213" s="10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  <c r="Q8213" s="11"/>
      <c r="R8213" s="11"/>
      <c r="S8213" s="11"/>
    </row>
    <row r="8214" spans="1:19" s="9" customFormat="1" x14ac:dyDescent="0.25">
      <c r="A8214" s="10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  <c r="Q8214" s="11"/>
      <c r="R8214" s="11"/>
      <c r="S8214" s="11"/>
    </row>
    <row r="8215" spans="1:19" s="9" customFormat="1" x14ac:dyDescent="0.25">
      <c r="A8215" s="10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  <c r="Q8215" s="11"/>
      <c r="R8215" s="11"/>
      <c r="S8215" s="11"/>
    </row>
    <row r="8216" spans="1:19" s="9" customFormat="1" x14ac:dyDescent="0.25">
      <c r="A8216" s="10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  <c r="Q8216" s="11"/>
      <c r="R8216" s="11"/>
      <c r="S8216" s="11"/>
    </row>
    <row r="8217" spans="1:19" s="9" customFormat="1" x14ac:dyDescent="0.25">
      <c r="A8217" s="10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  <c r="Q8217" s="11"/>
      <c r="R8217" s="11"/>
      <c r="S8217" s="11"/>
    </row>
    <row r="8218" spans="1:19" s="9" customFormat="1" x14ac:dyDescent="0.25">
      <c r="A8218" s="10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  <c r="Q8218" s="11"/>
      <c r="R8218" s="11"/>
      <c r="S8218" s="11"/>
    </row>
    <row r="8219" spans="1:19" s="9" customFormat="1" x14ac:dyDescent="0.25">
      <c r="A8219" s="10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  <c r="Q8219" s="11"/>
      <c r="R8219" s="11"/>
      <c r="S8219" s="11"/>
    </row>
    <row r="8220" spans="1:19" s="9" customFormat="1" x14ac:dyDescent="0.25">
      <c r="A8220" s="10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  <c r="Q8220" s="11"/>
      <c r="R8220" s="11"/>
      <c r="S8220" s="11"/>
    </row>
    <row r="8221" spans="1:19" s="9" customFormat="1" x14ac:dyDescent="0.25">
      <c r="A8221" s="10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  <c r="Q8221" s="11"/>
      <c r="R8221" s="11"/>
      <c r="S8221" s="11"/>
    </row>
    <row r="8222" spans="1:19" s="9" customFormat="1" x14ac:dyDescent="0.25">
      <c r="A8222" s="10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  <c r="Q8222" s="11"/>
      <c r="R8222" s="11"/>
      <c r="S8222" s="11"/>
    </row>
    <row r="8223" spans="1:19" s="9" customFormat="1" x14ac:dyDescent="0.25">
      <c r="A8223" s="10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  <c r="Q8223" s="11"/>
      <c r="R8223" s="11"/>
      <c r="S8223" s="11"/>
    </row>
    <row r="8224" spans="1:19" s="9" customFormat="1" x14ac:dyDescent="0.25">
      <c r="A8224" s="10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  <c r="Q8224" s="11"/>
      <c r="R8224" s="11"/>
      <c r="S8224" s="11"/>
    </row>
    <row r="8225" spans="1:19" s="9" customFormat="1" x14ac:dyDescent="0.25">
      <c r="A8225" s="10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  <c r="Q8225" s="11"/>
      <c r="R8225" s="11"/>
      <c r="S8225" s="11"/>
    </row>
    <row r="8226" spans="1:19" s="9" customFormat="1" x14ac:dyDescent="0.25">
      <c r="A8226" s="10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  <c r="Q8226" s="11"/>
      <c r="R8226" s="11"/>
      <c r="S8226" s="11"/>
    </row>
    <row r="8227" spans="1:19" s="9" customFormat="1" x14ac:dyDescent="0.25">
      <c r="A8227" s="10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  <c r="Q8227" s="11"/>
      <c r="R8227" s="11"/>
      <c r="S8227" s="11"/>
    </row>
    <row r="8228" spans="1:19" s="9" customFormat="1" x14ac:dyDescent="0.25">
      <c r="A8228" s="10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  <c r="Q8228" s="11"/>
      <c r="R8228" s="11"/>
      <c r="S8228" s="11"/>
    </row>
    <row r="8229" spans="1:19" s="9" customFormat="1" x14ac:dyDescent="0.25">
      <c r="A8229" s="10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  <c r="Q8229" s="11"/>
      <c r="R8229" s="11"/>
      <c r="S8229" s="11"/>
    </row>
    <row r="8230" spans="1:19" s="9" customFormat="1" x14ac:dyDescent="0.25">
      <c r="A8230" s="10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  <c r="Q8230" s="11"/>
      <c r="R8230" s="11"/>
      <c r="S8230" s="11"/>
    </row>
    <row r="8231" spans="1:19" s="9" customFormat="1" x14ac:dyDescent="0.25">
      <c r="A8231" s="10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  <c r="Q8231" s="11"/>
      <c r="R8231" s="11"/>
      <c r="S8231" s="11"/>
    </row>
    <row r="8232" spans="1:19" s="9" customFormat="1" x14ac:dyDescent="0.25">
      <c r="A8232" s="10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  <c r="Q8232" s="11"/>
      <c r="R8232" s="11"/>
      <c r="S8232" s="11"/>
    </row>
    <row r="8233" spans="1:19" s="9" customFormat="1" x14ac:dyDescent="0.25">
      <c r="A8233" s="10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  <c r="Q8233" s="11"/>
      <c r="R8233" s="11"/>
      <c r="S8233" s="11"/>
    </row>
    <row r="8234" spans="1:19" s="9" customFormat="1" x14ac:dyDescent="0.25">
      <c r="A8234" s="10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  <c r="Q8234" s="11"/>
      <c r="R8234" s="11"/>
      <c r="S8234" s="11"/>
    </row>
    <row r="8235" spans="1:19" s="9" customFormat="1" x14ac:dyDescent="0.25">
      <c r="A8235" s="10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  <c r="Q8235" s="11"/>
      <c r="R8235" s="11"/>
      <c r="S8235" s="11"/>
    </row>
    <row r="8236" spans="1:19" s="9" customFormat="1" x14ac:dyDescent="0.25">
      <c r="A8236" s="10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  <c r="Q8236" s="11"/>
      <c r="R8236" s="11"/>
      <c r="S8236" s="11"/>
    </row>
    <row r="8237" spans="1:19" s="9" customFormat="1" x14ac:dyDescent="0.25">
      <c r="A8237" s="10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  <c r="Q8237" s="11"/>
      <c r="R8237" s="11"/>
      <c r="S8237" s="11"/>
    </row>
    <row r="8238" spans="1:19" s="9" customFormat="1" x14ac:dyDescent="0.25">
      <c r="A8238" s="10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  <c r="Q8238" s="11"/>
      <c r="R8238" s="11"/>
      <c r="S8238" s="11"/>
    </row>
    <row r="8239" spans="1:19" s="9" customFormat="1" x14ac:dyDescent="0.25">
      <c r="A8239" s="10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  <c r="Q8239" s="11"/>
      <c r="R8239" s="11"/>
      <c r="S8239" s="11"/>
    </row>
    <row r="8240" spans="1:19" s="9" customFormat="1" x14ac:dyDescent="0.25">
      <c r="A8240" s="10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  <c r="Q8240" s="11"/>
      <c r="R8240" s="11"/>
      <c r="S8240" s="11"/>
    </row>
    <row r="8241" spans="1:19" s="9" customFormat="1" x14ac:dyDescent="0.25">
      <c r="A8241" s="10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  <c r="Q8241" s="11"/>
      <c r="R8241" s="11"/>
      <c r="S8241" s="11"/>
    </row>
    <row r="8242" spans="1:19" s="9" customFormat="1" x14ac:dyDescent="0.25">
      <c r="A8242" s="10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  <c r="Q8242" s="11"/>
      <c r="R8242" s="11"/>
      <c r="S8242" s="11"/>
    </row>
    <row r="8243" spans="1:19" s="9" customFormat="1" x14ac:dyDescent="0.25">
      <c r="A8243" s="10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  <c r="Q8243" s="11"/>
      <c r="R8243" s="11"/>
      <c r="S8243" s="11"/>
    </row>
    <row r="8244" spans="1:19" s="9" customFormat="1" x14ac:dyDescent="0.25">
      <c r="A8244" s="10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  <c r="Q8244" s="11"/>
      <c r="R8244" s="11"/>
      <c r="S8244" s="11"/>
    </row>
    <row r="8245" spans="1:19" s="9" customFormat="1" x14ac:dyDescent="0.25">
      <c r="A8245" s="10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  <c r="Q8245" s="11"/>
      <c r="R8245" s="11"/>
      <c r="S8245" s="11"/>
    </row>
    <row r="8246" spans="1:19" s="9" customFormat="1" x14ac:dyDescent="0.25">
      <c r="A8246" s="10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  <c r="Q8246" s="11"/>
      <c r="R8246" s="11"/>
      <c r="S8246" s="11"/>
    </row>
    <row r="8247" spans="1:19" s="9" customFormat="1" x14ac:dyDescent="0.25">
      <c r="A8247" s="10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  <c r="Q8247" s="11"/>
      <c r="R8247" s="11"/>
      <c r="S8247" s="11"/>
    </row>
    <row r="8248" spans="1:19" s="9" customFormat="1" x14ac:dyDescent="0.25">
      <c r="A8248" s="10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  <c r="Q8248" s="11"/>
      <c r="R8248" s="11"/>
      <c r="S8248" s="11"/>
    </row>
    <row r="8249" spans="1:19" s="9" customFormat="1" x14ac:dyDescent="0.25">
      <c r="A8249" s="10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  <c r="Q8249" s="11"/>
      <c r="R8249" s="11"/>
      <c r="S8249" s="11"/>
    </row>
    <row r="8250" spans="1:19" s="9" customFormat="1" x14ac:dyDescent="0.25">
      <c r="A8250" s="10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  <c r="Q8250" s="11"/>
      <c r="R8250" s="11"/>
      <c r="S8250" s="11"/>
    </row>
    <row r="8251" spans="1:19" s="9" customFormat="1" x14ac:dyDescent="0.25">
      <c r="A8251" s="10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  <c r="Q8251" s="11"/>
      <c r="R8251" s="11"/>
      <c r="S8251" s="11"/>
    </row>
    <row r="8252" spans="1:19" s="9" customFormat="1" x14ac:dyDescent="0.25">
      <c r="A8252" s="10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  <c r="Q8252" s="11"/>
      <c r="R8252" s="11"/>
      <c r="S8252" s="11"/>
    </row>
    <row r="8253" spans="1:19" s="9" customFormat="1" x14ac:dyDescent="0.25">
      <c r="A8253" s="10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  <c r="Q8253" s="11"/>
      <c r="R8253" s="11"/>
      <c r="S8253" s="11"/>
    </row>
    <row r="8254" spans="1:19" s="9" customFormat="1" x14ac:dyDescent="0.25">
      <c r="A8254" s="10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  <c r="Q8254" s="11"/>
      <c r="R8254" s="11"/>
      <c r="S8254" s="11"/>
    </row>
    <row r="8255" spans="1:19" s="9" customFormat="1" x14ac:dyDescent="0.25">
      <c r="A8255" s="10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  <c r="Q8255" s="11"/>
      <c r="R8255" s="11"/>
      <c r="S8255" s="11"/>
    </row>
    <row r="8256" spans="1:19" s="9" customFormat="1" x14ac:dyDescent="0.25">
      <c r="A8256" s="10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  <c r="Q8256" s="11"/>
      <c r="R8256" s="11"/>
      <c r="S8256" s="11"/>
    </row>
    <row r="8257" spans="1:19" s="9" customFormat="1" x14ac:dyDescent="0.25">
      <c r="A8257" s="10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  <c r="Q8257" s="11"/>
      <c r="R8257" s="11"/>
      <c r="S8257" s="11"/>
    </row>
    <row r="8258" spans="1:19" s="9" customFormat="1" x14ac:dyDescent="0.25">
      <c r="A8258" s="10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  <c r="Q8258" s="11"/>
      <c r="R8258" s="11"/>
      <c r="S8258" s="11"/>
    </row>
    <row r="8259" spans="1:19" s="9" customFormat="1" x14ac:dyDescent="0.25">
      <c r="A8259" s="10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  <c r="Q8259" s="11"/>
      <c r="R8259" s="11"/>
      <c r="S8259" s="11"/>
    </row>
    <row r="8260" spans="1:19" s="9" customFormat="1" x14ac:dyDescent="0.25">
      <c r="A8260" s="10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  <c r="Q8260" s="11"/>
      <c r="R8260" s="11"/>
      <c r="S8260" s="11"/>
    </row>
    <row r="8261" spans="1:19" s="9" customFormat="1" x14ac:dyDescent="0.25">
      <c r="A8261" s="10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  <c r="Q8261" s="11"/>
      <c r="R8261" s="11"/>
      <c r="S8261" s="11"/>
    </row>
    <row r="8262" spans="1:19" s="9" customFormat="1" x14ac:dyDescent="0.25">
      <c r="A8262" s="10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  <c r="Q8262" s="11"/>
      <c r="R8262" s="11"/>
      <c r="S8262" s="11"/>
    </row>
    <row r="8263" spans="1:19" s="9" customFormat="1" x14ac:dyDescent="0.25">
      <c r="A8263" s="10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  <c r="Q8263" s="11"/>
      <c r="R8263" s="11"/>
      <c r="S8263" s="11"/>
    </row>
    <row r="8264" spans="1:19" s="9" customFormat="1" x14ac:dyDescent="0.25">
      <c r="A8264" s="10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  <c r="Q8264" s="11"/>
      <c r="R8264" s="11"/>
      <c r="S8264" s="11"/>
    </row>
    <row r="8265" spans="1:19" s="9" customFormat="1" x14ac:dyDescent="0.25">
      <c r="A8265" s="10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  <c r="Q8265" s="11"/>
      <c r="R8265" s="11"/>
      <c r="S8265" s="11"/>
    </row>
    <row r="8266" spans="1:19" s="9" customFormat="1" x14ac:dyDescent="0.25">
      <c r="A8266" s="10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  <c r="Q8266" s="11"/>
      <c r="R8266" s="11"/>
      <c r="S8266" s="11"/>
    </row>
    <row r="8267" spans="1:19" s="9" customFormat="1" x14ac:dyDescent="0.25">
      <c r="A8267" s="10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  <c r="Q8267" s="11"/>
      <c r="R8267" s="11"/>
      <c r="S8267" s="11"/>
    </row>
    <row r="8268" spans="1:19" s="9" customFormat="1" x14ac:dyDescent="0.25">
      <c r="A8268" s="10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  <c r="Q8268" s="11"/>
      <c r="R8268" s="11"/>
      <c r="S8268" s="11"/>
    </row>
    <row r="8269" spans="1:19" s="9" customFormat="1" x14ac:dyDescent="0.25">
      <c r="A8269" s="10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  <c r="Q8269" s="11"/>
      <c r="R8269" s="11"/>
      <c r="S8269" s="11"/>
    </row>
    <row r="8270" spans="1:19" s="9" customFormat="1" x14ac:dyDescent="0.25">
      <c r="A8270" s="10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  <c r="Q8270" s="11"/>
      <c r="R8270" s="11"/>
      <c r="S8270" s="11"/>
    </row>
    <row r="8271" spans="1:19" s="9" customFormat="1" x14ac:dyDescent="0.25">
      <c r="A8271" s="10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  <c r="Q8271" s="11"/>
      <c r="R8271" s="11"/>
      <c r="S8271" s="11"/>
    </row>
    <row r="8272" spans="1:19" s="9" customFormat="1" x14ac:dyDescent="0.25">
      <c r="A8272" s="10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  <c r="Q8272" s="11"/>
      <c r="R8272" s="11"/>
      <c r="S8272" s="11"/>
    </row>
    <row r="8273" spans="1:19" s="9" customFormat="1" x14ac:dyDescent="0.25">
      <c r="A8273" s="10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  <c r="Q8273" s="11"/>
      <c r="R8273" s="11"/>
      <c r="S8273" s="11"/>
    </row>
    <row r="8274" spans="1:19" s="9" customFormat="1" x14ac:dyDescent="0.25">
      <c r="A8274" s="10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  <c r="Q8274" s="11"/>
      <c r="R8274" s="11"/>
      <c r="S8274" s="11"/>
    </row>
    <row r="8275" spans="1:19" s="9" customFormat="1" x14ac:dyDescent="0.25">
      <c r="A8275" s="10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  <c r="Q8275" s="11"/>
      <c r="R8275" s="11"/>
      <c r="S8275" s="11"/>
    </row>
    <row r="8276" spans="1:19" s="9" customFormat="1" x14ac:dyDescent="0.25">
      <c r="A8276" s="10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  <c r="Q8276" s="11"/>
      <c r="R8276" s="11"/>
      <c r="S8276" s="11"/>
    </row>
    <row r="8277" spans="1:19" s="9" customFormat="1" x14ac:dyDescent="0.25">
      <c r="A8277" s="10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  <c r="Q8277" s="11"/>
      <c r="R8277" s="11"/>
      <c r="S8277" s="11"/>
    </row>
    <row r="8278" spans="1:19" s="9" customFormat="1" x14ac:dyDescent="0.25">
      <c r="A8278" s="10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  <c r="Q8278" s="11"/>
      <c r="R8278" s="11"/>
      <c r="S8278" s="11"/>
    </row>
    <row r="8279" spans="1:19" s="9" customFormat="1" x14ac:dyDescent="0.25">
      <c r="A8279" s="10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  <c r="Q8279" s="11"/>
      <c r="R8279" s="11"/>
      <c r="S8279" s="11"/>
    </row>
    <row r="8280" spans="1:19" s="9" customFormat="1" x14ac:dyDescent="0.25">
      <c r="A8280" s="10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  <c r="Q8280" s="11"/>
      <c r="R8280" s="11"/>
      <c r="S8280" s="11"/>
    </row>
    <row r="8281" spans="1:19" s="9" customFormat="1" x14ac:dyDescent="0.25">
      <c r="A8281" s="10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  <c r="Q8281" s="11"/>
      <c r="R8281" s="11"/>
      <c r="S8281" s="11"/>
    </row>
    <row r="8282" spans="1:19" s="9" customFormat="1" x14ac:dyDescent="0.25">
      <c r="A8282" s="10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  <c r="Q8282" s="11"/>
      <c r="R8282" s="11"/>
      <c r="S8282" s="11"/>
    </row>
    <row r="8283" spans="1:19" s="9" customFormat="1" x14ac:dyDescent="0.25">
      <c r="A8283" s="10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  <c r="Q8283" s="11"/>
      <c r="R8283" s="11"/>
      <c r="S8283" s="11"/>
    </row>
    <row r="8284" spans="1:19" s="9" customFormat="1" x14ac:dyDescent="0.25">
      <c r="A8284" s="10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  <c r="Q8284" s="11"/>
      <c r="R8284" s="11"/>
      <c r="S8284" s="11"/>
    </row>
    <row r="8285" spans="1:19" s="9" customFormat="1" x14ac:dyDescent="0.25">
      <c r="A8285" s="10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  <c r="Q8285" s="11"/>
      <c r="R8285" s="11"/>
      <c r="S8285" s="11"/>
    </row>
    <row r="8286" spans="1:19" s="9" customFormat="1" x14ac:dyDescent="0.25">
      <c r="A8286" s="10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  <c r="Q8286" s="11"/>
      <c r="R8286" s="11"/>
      <c r="S8286" s="11"/>
    </row>
    <row r="8287" spans="1:19" s="9" customFormat="1" x14ac:dyDescent="0.25">
      <c r="A8287" s="10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  <c r="Q8287" s="11"/>
      <c r="R8287" s="11"/>
      <c r="S8287" s="11"/>
    </row>
    <row r="8288" spans="1:19" s="9" customFormat="1" x14ac:dyDescent="0.25">
      <c r="A8288" s="10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  <c r="Q8288" s="11"/>
      <c r="R8288" s="11"/>
      <c r="S8288" s="11"/>
    </row>
    <row r="8289" spans="1:19" s="9" customFormat="1" x14ac:dyDescent="0.25">
      <c r="A8289" s="10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  <c r="Q8289" s="11"/>
      <c r="R8289" s="11"/>
      <c r="S8289" s="11"/>
    </row>
    <row r="8290" spans="1:19" s="9" customFormat="1" x14ac:dyDescent="0.25">
      <c r="A8290" s="10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  <c r="Q8290" s="11"/>
      <c r="R8290" s="11"/>
      <c r="S8290" s="11"/>
    </row>
    <row r="8291" spans="1:19" s="9" customFormat="1" x14ac:dyDescent="0.25">
      <c r="A8291" s="10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  <c r="Q8291" s="11"/>
      <c r="R8291" s="11"/>
      <c r="S8291" s="11"/>
    </row>
    <row r="8292" spans="1:19" s="9" customFormat="1" x14ac:dyDescent="0.25">
      <c r="A8292" s="10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  <c r="Q8292" s="11"/>
      <c r="R8292" s="11"/>
      <c r="S8292" s="11"/>
    </row>
    <row r="8293" spans="1:19" s="9" customFormat="1" x14ac:dyDescent="0.25">
      <c r="A8293" s="10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  <c r="Q8293" s="11"/>
      <c r="R8293" s="11"/>
      <c r="S8293" s="11"/>
    </row>
    <row r="8294" spans="1:19" s="9" customFormat="1" x14ac:dyDescent="0.25">
      <c r="A8294" s="10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  <c r="Q8294" s="11"/>
      <c r="R8294" s="11"/>
      <c r="S8294" s="11"/>
    </row>
    <row r="8295" spans="1:19" s="9" customFormat="1" x14ac:dyDescent="0.25">
      <c r="A8295" s="10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  <c r="Q8295" s="11"/>
      <c r="R8295" s="11"/>
      <c r="S8295" s="11"/>
    </row>
    <row r="8296" spans="1:19" s="9" customFormat="1" x14ac:dyDescent="0.25">
      <c r="A8296" s="10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  <c r="Q8296" s="11"/>
      <c r="R8296" s="11"/>
      <c r="S8296" s="11"/>
    </row>
    <row r="8297" spans="1:19" s="9" customFormat="1" x14ac:dyDescent="0.25">
      <c r="A8297" s="10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  <c r="Q8297" s="11"/>
      <c r="R8297" s="11"/>
      <c r="S8297" s="11"/>
    </row>
    <row r="8298" spans="1:19" s="9" customFormat="1" x14ac:dyDescent="0.25">
      <c r="A8298" s="10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  <c r="Q8298" s="11"/>
      <c r="R8298" s="11"/>
      <c r="S8298" s="11"/>
    </row>
    <row r="8299" spans="1:19" s="9" customFormat="1" x14ac:dyDescent="0.25">
      <c r="A8299" s="10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  <c r="Q8299" s="11"/>
      <c r="R8299" s="11"/>
      <c r="S8299" s="11"/>
    </row>
    <row r="8300" spans="1:19" s="9" customFormat="1" x14ac:dyDescent="0.25">
      <c r="A8300" s="10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  <c r="Q8300" s="11"/>
      <c r="R8300" s="11"/>
      <c r="S8300" s="11"/>
    </row>
    <row r="8301" spans="1:19" s="9" customFormat="1" x14ac:dyDescent="0.25">
      <c r="A8301" s="10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  <c r="Q8301" s="11"/>
      <c r="R8301" s="11"/>
      <c r="S8301" s="11"/>
    </row>
    <row r="8302" spans="1:19" s="9" customFormat="1" x14ac:dyDescent="0.25">
      <c r="A8302" s="10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  <c r="Q8302" s="11"/>
      <c r="R8302" s="11"/>
      <c r="S8302" s="11"/>
    </row>
    <row r="8303" spans="1:19" s="9" customFormat="1" x14ac:dyDescent="0.25">
      <c r="A8303" s="10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  <c r="Q8303" s="11"/>
      <c r="R8303" s="11"/>
      <c r="S8303" s="11"/>
    </row>
    <row r="8304" spans="1:19" s="9" customFormat="1" x14ac:dyDescent="0.25">
      <c r="A8304" s="10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  <c r="Q8304" s="11"/>
      <c r="R8304" s="11"/>
      <c r="S8304" s="11"/>
    </row>
    <row r="8305" spans="1:19" s="9" customFormat="1" x14ac:dyDescent="0.25">
      <c r="A8305" s="10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  <c r="Q8305" s="11"/>
      <c r="R8305" s="11"/>
      <c r="S8305" s="11"/>
    </row>
    <row r="8306" spans="1:19" s="9" customFormat="1" x14ac:dyDescent="0.25">
      <c r="A8306" s="10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  <c r="Q8306" s="11"/>
      <c r="R8306" s="11"/>
      <c r="S8306" s="11"/>
    </row>
    <row r="8307" spans="1:19" s="9" customFormat="1" x14ac:dyDescent="0.25">
      <c r="A8307" s="10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  <c r="Q8307" s="11"/>
      <c r="R8307" s="11"/>
      <c r="S8307" s="11"/>
    </row>
    <row r="8308" spans="1:19" s="9" customFormat="1" x14ac:dyDescent="0.25">
      <c r="A8308" s="10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  <c r="Q8308" s="11"/>
      <c r="R8308" s="11"/>
      <c r="S8308" s="11"/>
    </row>
    <row r="8309" spans="1:19" s="9" customFormat="1" x14ac:dyDescent="0.25">
      <c r="A8309" s="10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  <c r="Q8309" s="11"/>
      <c r="R8309" s="11"/>
      <c r="S8309" s="11"/>
    </row>
    <row r="8310" spans="1:19" s="9" customFormat="1" x14ac:dyDescent="0.25">
      <c r="A8310" s="10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  <c r="Q8310" s="11"/>
      <c r="R8310" s="11"/>
      <c r="S8310" s="11"/>
    </row>
    <row r="8311" spans="1:19" s="9" customFormat="1" x14ac:dyDescent="0.25">
      <c r="A8311" s="10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  <c r="Q8311" s="11"/>
      <c r="R8311" s="11"/>
      <c r="S8311" s="11"/>
    </row>
    <row r="8312" spans="1:19" s="9" customFormat="1" x14ac:dyDescent="0.25">
      <c r="A8312" s="10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  <c r="Q8312" s="11"/>
      <c r="R8312" s="11"/>
      <c r="S8312" s="11"/>
    </row>
    <row r="8313" spans="1:19" s="9" customFormat="1" x14ac:dyDescent="0.25">
      <c r="A8313" s="10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  <c r="Q8313" s="11"/>
      <c r="R8313" s="11"/>
      <c r="S8313" s="11"/>
    </row>
    <row r="8314" spans="1:19" s="9" customFormat="1" x14ac:dyDescent="0.25">
      <c r="A8314" s="10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  <c r="Q8314" s="11"/>
      <c r="R8314" s="11"/>
      <c r="S8314" s="11"/>
    </row>
    <row r="8315" spans="1:19" s="9" customFormat="1" x14ac:dyDescent="0.25">
      <c r="A8315" s="10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  <c r="Q8315" s="11"/>
      <c r="R8315" s="11"/>
      <c r="S8315" s="11"/>
    </row>
    <row r="8316" spans="1:19" s="9" customFormat="1" x14ac:dyDescent="0.25">
      <c r="A8316" s="10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  <c r="Q8316" s="11"/>
      <c r="R8316" s="11"/>
      <c r="S8316" s="11"/>
    </row>
    <row r="8317" spans="1:19" s="9" customFormat="1" x14ac:dyDescent="0.25">
      <c r="A8317" s="10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  <c r="Q8317" s="11"/>
      <c r="R8317" s="11"/>
      <c r="S8317" s="11"/>
    </row>
    <row r="8318" spans="1:19" s="9" customFormat="1" x14ac:dyDescent="0.25">
      <c r="A8318" s="10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  <c r="Q8318" s="11"/>
      <c r="R8318" s="11"/>
      <c r="S8318" s="11"/>
    </row>
    <row r="8319" spans="1:19" s="9" customFormat="1" x14ac:dyDescent="0.25">
      <c r="A8319" s="10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  <c r="Q8319" s="11"/>
      <c r="R8319" s="11"/>
      <c r="S8319" s="11"/>
    </row>
    <row r="8320" spans="1:19" s="9" customFormat="1" x14ac:dyDescent="0.25">
      <c r="A8320" s="10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  <c r="Q8320" s="11"/>
      <c r="R8320" s="11"/>
      <c r="S8320" s="11"/>
    </row>
    <row r="8321" spans="1:19" s="9" customFormat="1" x14ac:dyDescent="0.25">
      <c r="A8321" s="10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  <c r="Q8321" s="11"/>
      <c r="R8321" s="11"/>
      <c r="S8321" s="11"/>
    </row>
    <row r="8322" spans="1:19" s="9" customFormat="1" x14ac:dyDescent="0.25">
      <c r="A8322" s="10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  <c r="Q8322" s="11"/>
      <c r="R8322" s="11"/>
      <c r="S8322" s="11"/>
    </row>
    <row r="8323" spans="1:19" s="9" customFormat="1" x14ac:dyDescent="0.25">
      <c r="A8323" s="10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  <c r="Q8323" s="11"/>
      <c r="R8323" s="11"/>
      <c r="S8323" s="11"/>
    </row>
    <row r="8324" spans="1:19" s="9" customFormat="1" x14ac:dyDescent="0.25">
      <c r="A8324" s="10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  <c r="Q8324" s="11"/>
      <c r="R8324" s="11"/>
      <c r="S8324" s="11"/>
    </row>
    <row r="8325" spans="1:19" s="9" customFormat="1" x14ac:dyDescent="0.25">
      <c r="A8325" s="10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  <c r="Q8325" s="11"/>
      <c r="R8325" s="11"/>
      <c r="S8325" s="11"/>
    </row>
    <row r="8326" spans="1:19" s="9" customFormat="1" x14ac:dyDescent="0.25">
      <c r="A8326" s="10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  <c r="Q8326" s="11"/>
      <c r="R8326" s="11"/>
      <c r="S8326" s="11"/>
    </row>
    <row r="8327" spans="1:19" s="9" customFormat="1" x14ac:dyDescent="0.25">
      <c r="A8327" s="10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  <c r="Q8327" s="11"/>
      <c r="R8327" s="11"/>
      <c r="S8327" s="11"/>
    </row>
    <row r="8328" spans="1:19" s="9" customFormat="1" x14ac:dyDescent="0.25">
      <c r="A8328" s="10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  <c r="Q8328" s="11"/>
      <c r="R8328" s="11"/>
      <c r="S8328" s="11"/>
    </row>
    <row r="8329" spans="1:19" s="9" customFormat="1" x14ac:dyDescent="0.25">
      <c r="A8329" s="10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  <c r="Q8329" s="11"/>
      <c r="R8329" s="11"/>
      <c r="S8329" s="11"/>
    </row>
    <row r="8330" spans="1:19" s="9" customFormat="1" x14ac:dyDescent="0.25">
      <c r="A8330" s="10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  <c r="Q8330" s="11"/>
      <c r="R8330" s="11"/>
      <c r="S8330" s="11"/>
    </row>
    <row r="8331" spans="1:19" s="9" customFormat="1" x14ac:dyDescent="0.25">
      <c r="A8331" s="10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  <c r="Q8331" s="11"/>
      <c r="R8331" s="11"/>
      <c r="S8331" s="11"/>
    </row>
    <row r="8332" spans="1:19" s="9" customFormat="1" x14ac:dyDescent="0.25">
      <c r="A8332" s="10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  <c r="Q8332" s="11"/>
      <c r="R8332" s="11"/>
      <c r="S8332" s="11"/>
    </row>
    <row r="8333" spans="1:19" s="9" customFormat="1" x14ac:dyDescent="0.25">
      <c r="A8333" s="10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  <c r="Q8333" s="11"/>
      <c r="R8333" s="11"/>
      <c r="S8333" s="11"/>
    </row>
    <row r="8334" spans="1:19" s="9" customFormat="1" x14ac:dyDescent="0.25">
      <c r="A8334" s="10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  <c r="Q8334" s="11"/>
      <c r="R8334" s="11"/>
      <c r="S8334" s="11"/>
    </row>
    <row r="8335" spans="1:19" s="9" customFormat="1" x14ac:dyDescent="0.25">
      <c r="A8335" s="10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  <c r="Q8335" s="11"/>
      <c r="R8335" s="11"/>
      <c r="S8335" s="11"/>
    </row>
    <row r="8336" spans="1:19" s="9" customFormat="1" x14ac:dyDescent="0.25">
      <c r="A8336" s="10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  <c r="Q8336" s="11"/>
      <c r="R8336" s="11"/>
      <c r="S8336" s="11"/>
    </row>
    <row r="8337" spans="1:19" s="9" customFormat="1" x14ac:dyDescent="0.25">
      <c r="A8337" s="10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  <c r="Q8337" s="11"/>
      <c r="R8337" s="11"/>
      <c r="S8337" s="11"/>
    </row>
    <row r="8338" spans="1:19" s="9" customFormat="1" x14ac:dyDescent="0.25">
      <c r="A8338" s="10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  <c r="Q8338" s="11"/>
      <c r="R8338" s="11"/>
      <c r="S8338" s="11"/>
    </row>
    <row r="8339" spans="1:19" s="9" customFormat="1" x14ac:dyDescent="0.25">
      <c r="A8339" s="10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  <c r="Q8339" s="11"/>
      <c r="R8339" s="11"/>
      <c r="S8339" s="11"/>
    </row>
    <row r="8340" spans="1:19" s="9" customFormat="1" x14ac:dyDescent="0.25">
      <c r="A8340" s="10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  <c r="Q8340" s="11"/>
      <c r="R8340" s="11"/>
      <c r="S8340" s="11"/>
    </row>
    <row r="8341" spans="1:19" s="9" customFormat="1" x14ac:dyDescent="0.25">
      <c r="A8341" s="10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  <c r="Q8341" s="11"/>
      <c r="R8341" s="11"/>
      <c r="S8341" s="11"/>
    </row>
    <row r="8342" spans="1:19" s="9" customFormat="1" x14ac:dyDescent="0.25">
      <c r="A8342" s="10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  <c r="Q8342" s="11"/>
      <c r="R8342" s="11"/>
      <c r="S8342" s="11"/>
    </row>
    <row r="8343" spans="1:19" s="9" customFormat="1" x14ac:dyDescent="0.25">
      <c r="A8343" s="10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  <c r="Q8343" s="11"/>
      <c r="R8343" s="11"/>
      <c r="S8343" s="11"/>
    </row>
    <row r="8344" spans="1:19" s="9" customFormat="1" x14ac:dyDescent="0.25">
      <c r="A8344" s="10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  <c r="Q8344" s="11"/>
      <c r="R8344" s="11"/>
      <c r="S8344" s="11"/>
    </row>
    <row r="8345" spans="1:19" s="9" customFormat="1" x14ac:dyDescent="0.25">
      <c r="A8345" s="10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  <c r="Q8345" s="11"/>
      <c r="R8345" s="11"/>
      <c r="S8345" s="11"/>
    </row>
    <row r="8346" spans="1:19" s="9" customFormat="1" x14ac:dyDescent="0.25">
      <c r="A8346" s="10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  <c r="Q8346" s="11"/>
      <c r="R8346" s="11"/>
      <c r="S8346" s="11"/>
    </row>
    <row r="8347" spans="1:19" s="9" customFormat="1" x14ac:dyDescent="0.25">
      <c r="A8347" s="10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  <c r="Q8347" s="11"/>
      <c r="R8347" s="11"/>
      <c r="S8347" s="11"/>
    </row>
    <row r="8348" spans="1:19" s="9" customFormat="1" x14ac:dyDescent="0.25">
      <c r="A8348" s="10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  <c r="Q8348" s="11"/>
      <c r="R8348" s="11"/>
      <c r="S8348" s="11"/>
    </row>
    <row r="8349" spans="1:19" s="9" customFormat="1" x14ac:dyDescent="0.25">
      <c r="A8349" s="10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  <c r="Q8349" s="11"/>
      <c r="R8349" s="11"/>
      <c r="S8349" s="11"/>
    </row>
    <row r="8350" spans="1:19" s="9" customFormat="1" x14ac:dyDescent="0.25">
      <c r="A8350" s="10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  <c r="Q8350" s="11"/>
      <c r="R8350" s="11"/>
      <c r="S8350" s="11"/>
    </row>
    <row r="8351" spans="1:19" s="9" customFormat="1" x14ac:dyDescent="0.25">
      <c r="A8351" s="10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  <c r="Q8351" s="11"/>
      <c r="R8351" s="11"/>
      <c r="S8351" s="11"/>
    </row>
    <row r="8352" spans="1:19" s="9" customFormat="1" x14ac:dyDescent="0.25">
      <c r="A8352" s="10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  <c r="Q8352" s="11"/>
      <c r="R8352" s="11"/>
      <c r="S8352" s="11"/>
    </row>
    <row r="8353" spans="1:19" s="9" customFormat="1" x14ac:dyDescent="0.25">
      <c r="A8353" s="10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  <c r="Q8353" s="11"/>
      <c r="R8353" s="11"/>
      <c r="S8353" s="11"/>
    </row>
    <row r="8354" spans="1:19" s="9" customFormat="1" x14ac:dyDescent="0.25">
      <c r="A8354" s="10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  <c r="Q8354" s="11"/>
      <c r="R8354" s="11"/>
      <c r="S8354" s="11"/>
    </row>
    <row r="8355" spans="1:19" s="9" customFormat="1" x14ac:dyDescent="0.25">
      <c r="A8355" s="10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  <c r="Q8355" s="11"/>
      <c r="R8355" s="11"/>
      <c r="S8355" s="11"/>
    </row>
    <row r="8356" spans="1:19" s="9" customFormat="1" x14ac:dyDescent="0.25">
      <c r="A8356" s="10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  <c r="Q8356" s="11"/>
      <c r="R8356" s="11"/>
      <c r="S8356" s="11"/>
    </row>
    <row r="8357" spans="1:19" s="9" customFormat="1" x14ac:dyDescent="0.25">
      <c r="A8357" s="10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  <c r="Q8357" s="11"/>
      <c r="R8357" s="11"/>
      <c r="S8357" s="11"/>
    </row>
    <row r="8358" spans="1:19" s="9" customFormat="1" x14ac:dyDescent="0.25">
      <c r="A8358" s="10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  <c r="Q8358" s="11"/>
      <c r="R8358" s="11"/>
      <c r="S8358" s="11"/>
    </row>
    <row r="8359" spans="1:19" s="9" customFormat="1" x14ac:dyDescent="0.25">
      <c r="A8359" s="10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  <c r="Q8359" s="11"/>
      <c r="R8359" s="11"/>
      <c r="S8359" s="11"/>
    </row>
    <row r="8360" spans="1:19" s="9" customFormat="1" x14ac:dyDescent="0.25">
      <c r="A8360" s="10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  <c r="Q8360" s="11"/>
      <c r="R8360" s="11"/>
      <c r="S8360" s="11"/>
    </row>
    <row r="8361" spans="1:19" s="9" customFormat="1" x14ac:dyDescent="0.25">
      <c r="A8361" s="10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  <c r="Q8361" s="11"/>
      <c r="R8361" s="11"/>
      <c r="S8361" s="11"/>
    </row>
    <row r="8362" spans="1:19" s="9" customFormat="1" x14ac:dyDescent="0.25">
      <c r="A8362" s="10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  <c r="Q8362" s="11"/>
      <c r="R8362" s="11"/>
      <c r="S8362" s="11"/>
    </row>
    <row r="8363" spans="1:19" s="9" customFormat="1" x14ac:dyDescent="0.25">
      <c r="A8363" s="10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  <c r="Q8363" s="11"/>
      <c r="R8363" s="11"/>
      <c r="S8363" s="11"/>
    </row>
    <row r="8364" spans="1:19" s="9" customFormat="1" x14ac:dyDescent="0.25">
      <c r="A8364" s="10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  <c r="Q8364" s="11"/>
      <c r="R8364" s="11"/>
      <c r="S8364" s="11"/>
    </row>
    <row r="8365" spans="1:19" s="9" customFormat="1" x14ac:dyDescent="0.25">
      <c r="A8365" s="10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  <c r="Q8365" s="11"/>
      <c r="R8365" s="11"/>
      <c r="S8365" s="11"/>
    </row>
    <row r="8366" spans="1:19" s="9" customFormat="1" x14ac:dyDescent="0.25">
      <c r="A8366" s="10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  <c r="Q8366" s="11"/>
      <c r="R8366" s="11"/>
      <c r="S8366" s="11"/>
    </row>
    <row r="8367" spans="1:19" s="9" customFormat="1" x14ac:dyDescent="0.25">
      <c r="A8367" s="10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  <c r="Q8367" s="11"/>
      <c r="R8367" s="11"/>
      <c r="S8367" s="11"/>
    </row>
    <row r="8368" spans="1:19" s="9" customFormat="1" x14ac:dyDescent="0.25">
      <c r="A8368" s="10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  <c r="Q8368" s="11"/>
      <c r="R8368" s="11"/>
      <c r="S8368" s="11"/>
    </row>
    <row r="8369" spans="1:19" s="9" customFormat="1" x14ac:dyDescent="0.25">
      <c r="A8369" s="10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  <c r="Q8369" s="11"/>
      <c r="R8369" s="11"/>
      <c r="S8369" s="11"/>
    </row>
    <row r="8370" spans="1:19" s="9" customFormat="1" x14ac:dyDescent="0.25">
      <c r="A8370" s="10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  <c r="Q8370" s="11"/>
      <c r="R8370" s="11"/>
      <c r="S8370" s="11"/>
    </row>
    <row r="8371" spans="1:19" s="9" customFormat="1" x14ac:dyDescent="0.25">
      <c r="A8371" s="10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  <c r="Q8371" s="11"/>
      <c r="R8371" s="11"/>
      <c r="S8371" s="11"/>
    </row>
    <row r="8372" spans="1:19" s="9" customFormat="1" x14ac:dyDescent="0.25">
      <c r="A8372" s="10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  <c r="Q8372" s="11"/>
      <c r="R8372" s="11"/>
      <c r="S8372" s="11"/>
    </row>
    <row r="8373" spans="1:19" s="9" customFormat="1" x14ac:dyDescent="0.25">
      <c r="A8373" s="10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  <c r="Q8373" s="11"/>
      <c r="R8373" s="11"/>
      <c r="S8373" s="11"/>
    </row>
    <row r="8374" spans="1:19" s="9" customFormat="1" x14ac:dyDescent="0.25">
      <c r="A8374" s="10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  <c r="Q8374" s="11"/>
      <c r="R8374" s="11"/>
      <c r="S8374" s="11"/>
    </row>
    <row r="8375" spans="1:19" s="9" customFormat="1" x14ac:dyDescent="0.25">
      <c r="A8375" s="10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  <c r="Q8375" s="11"/>
      <c r="R8375" s="11"/>
      <c r="S8375" s="11"/>
    </row>
    <row r="8376" spans="1:19" s="9" customFormat="1" x14ac:dyDescent="0.25">
      <c r="A8376" s="10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  <c r="Q8376" s="11"/>
      <c r="R8376" s="11"/>
      <c r="S8376" s="11"/>
    </row>
    <row r="8377" spans="1:19" s="9" customFormat="1" x14ac:dyDescent="0.25">
      <c r="A8377" s="10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  <c r="Q8377" s="11"/>
      <c r="R8377" s="11"/>
      <c r="S8377" s="11"/>
    </row>
    <row r="8378" spans="1:19" s="9" customFormat="1" x14ac:dyDescent="0.25">
      <c r="A8378" s="10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  <c r="Q8378" s="11"/>
      <c r="R8378" s="11"/>
      <c r="S8378" s="11"/>
    </row>
    <row r="8379" spans="1:19" s="9" customFormat="1" x14ac:dyDescent="0.25">
      <c r="A8379" s="10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  <c r="Q8379" s="11"/>
      <c r="R8379" s="11"/>
      <c r="S8379" s="11"/>
    </row>
    <row r="8380" spans="1:19" s="9" customFormat="1" x14ac:dyDescent="0.25">
      <c r="A8380" s="10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  <c r="Q8380" s="11"/>
      <c r="R8380" s="11"/>
      <c r="S8380" s="11"/>
    </row>
    <row r="8381" spans="1:19" s="9" customFormat="1" x14ac:dyDescent="0.25">
      <c r="A8381" s="10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  <c r="Q8381" s="11"/>
      <c r="R8381" s="11"/>
      <c r="S8381" s="11"/>
    </row>
    <row r="8382" spans="1:19" s="9" customFormat="1" x14ac:dyDescent="0.25">
      <c r="A8382" s="10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  <c r="Q8382" s="11"/>
      <c r="R8382" s="11"/>
      <c r="S8382" s="11"/>
    </row>
    <row r="8383" spans="1:19" s="9" customFormat="1" x14ac:dyDescent="0.25">
      <c r="A8383" s="10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  <c r="Q8383" s="11"/>
      <c r="R8383" s="11"/>
      <c r="S8383" s="11"/>
    </row>
    <row r="8384" spans="1:19" s="9" customFormat="1" x14ac:dyDescent="0.25">
      <c r="A8384" s="10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  <c r="Q8384" s="11"/>
      <c r="R8384" s="11"/>
      <c r="S8384" s="11"/>
    </row>
    <row r="8385" spans="1:19" s="9" customFormat="1" x14ac:dyDescent="0.25">
      <c r="A8385" s="10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  <c r="Q8385" s="11"/>
      <c r="R8385" s="11"/>
      <c r="S8385" s="11"/>
    </row>
    <row r="8386" spans="1:19" s="9" customFormat="1" x14ac:dyDescent="0.25">
      <c r="A8386" s="10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  <c r="Q8386" s="11"/>
      <c r="R8386" s="11"/>
      <c r="S8386" s="11"/>
    </row>
    <row r="8387" spans="1:19" s="9" customFormat="1" x14ac:dyDescent="0.25">
      <c r="A8387" s="10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  <c r="Q8387" s="11"/>
      <c r="R8387" s="11"/>
      <c r="S8387" s="11"/>
    </row>
    <row r="8388" spans="1:19" s="9" customFormat="1" x14ac:dyDescent="0.25">
      <c r="A8388" s="10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  <c r="Q8388" s="11"/>
      <c r="R8388" s="11"/>
      <c r="S8388" s="11"/>
    </row>
    <row r="8389" spans="1:19" s="9" customFormat="1" x14ac:dyDescent="0.25">
      <c r="A8389" s="10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  <c r="Q8389" s="11"/>
      <c r="R8389" s="11"/>
      <c r="S8389" s="11"/>
    </row>
    <row r="8390" spans="1:19" s="9" customFormat="1" x14ac:dyDescent="0.25">
      <c r="A8390" s="10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  <c r="Q8390" s="11"/>
      <c r="R8390" s="11"/>
      <c r="S8390" s="11"/>
    </row>
    <row r="8391" spans="1:19" s="9" customFormat="1" x14ac:dyDescent="0.25">
      <c r="A8391" s="10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  <c r="Q8391" s="11"/>
      <c r="R8391" s="11"/>
      <c r="S8391" s="11"/>
    </row>
    <row r="8392" spans="1:19" s="9" customFormat="1" x14ac:dyDescent="0.25">
      <c r="A8392" s="10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  <c r="Q8392" s="11"/>
      <c r="R8392" s="11"/>
      <c r="S8392" s="11"/>
    </row>
    <row r="8393" spans="1:19" s="9" customFormat="1" x14ac:dyDescent="0.25">
      <c r="A8393" s="10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  <c r="Q8393" s="11"/>
      <c r="R8393" s="11"/>
      <c r="S8393" s="11"/>
    </row>
    <row r="8394" spans="1:19" s="9" customFormat="1" x14ac:dyDescent="0.25">
      <c r="A8394" s="10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  <c r="Q8394" s="11"/>
      <c r="R8394" s="11"/>
      <c r="S8394" s="11"/>
    </row>
    <row r="8395" spans="1:19" s="9" customFormat="1" x14ac:dyDescent="0.25">
      <c r="A8395" s="10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  <c r="Q8395" s="11"/>
      <c r="R8395" s="11"/>
      <c r="S8395" s="11"/>
    </row>
    <row r="8396" spans="1:19" s="9" customFormat="1" x14ac:dyDescent="0.25">
      <c r="A8396" s="10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  <c r="Q8396" s="11"/>
      <c r="R8396" s="11"/>
      <c r="S8396" s="11"/>
    </row>
    <row r="8397" spans="1:19" s="9" customFormat="1" x14ac:dyDescent="0.25">
      <c r="A8397" s="10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  <c r="Q8397" s="11"/>
      <c r="R8397" s="11"/>
      <c r="S8397" s="11"/>
    </row>
    <row r="8398" spans="1:19" s="9" customFormat="1" x14ac:dyDescent="0.25">
      <c r="A8398" s="10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  <c r="Q8398" s="11"/>
      <c r="R8398" s="11"/>
      <c r="S8398" s="11"/>
    </row>
    <row r="8399" spans="1:19" s="9" customFormat="1" x14ac:dyDescent="0.25">
      <c r="A8399" s="10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  <c r="Q8399" s="11"/>
      <c r="R8399" s="11"/>
      <c r="S8399" s="11"/>
    </row>
    <row r="8400" spans="1:19" s="9" customFormat="1" x14ac:dyDescent="0.25">
      <c r="A8400" s="10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  <c r="Q8400" s="11"/>
      <c r="R8400" s="11"/>
      <c r="S8400" s="11"/>
    </row>
    <row r="8401" spans="1:19" s="9" customFormat="1" x14ac:dyDescent="0.25">
      <c r="A8401" s="10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  <c r="Q8401" s="11"/>
      <c r="R8401" s="11"/>
      <c r="S8401" s="11"/>
    </row>
    <row r="8402" spans="1:19" s="9" customFormat="1" x14ac:dyDescent="0.25">
      <c r="A8402" s="10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  <c r="Q8402" s="11"/>
      <c r="R8402" s="11"/>
      <c r="S8402" s="11"/>
    </row>
    <row r="8403" spans="1:19" s="9" customFormat="1" x14ac:dyDescent="0.25">
      <c r="A8403" s="10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  <c r="Q8403" s="11"/>
      <c r="R8403" s="11"/>
      <c r="S8403" s="11"/>
    </row>
    <row r="8404" spans="1:19" s="9" customFormat="1" x14ac:dyDescent="0.25">
      <c r="A8404" s="10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  <c r="Q8404" s="11"/>
      <c r="R8404" s="11"/>
      <c r="S8404" s="11"/>
    </row>
    <row r="8405" spans="1:19" s="9" customFormat="1" x14ac:dyDescent="0.25">
      <c r="A8405" s="10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  <c r="Q8405" s="11"/>
      <c r="R8405" s="11"/>
      <c r="S8405" s="11"/>
    </row>
    <row r="8406" spans="1:19" s="9" customFormat="1" x14ac:dyDescent="0.25">
      <c r="A8406" s="10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  <c r="Q8406" s="11"/>
      <c r="R8406" s="11"/>
      <c r="S8406" s="11"/>
    </row>
    <row r="8407" spans="1:19" s="9" customFormat="1" x14ac:dyDescent="0.25">
      <c r="A8407" s="10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  <c r="Q8407" s="11"/>
      <c r="R8407" s="11"/>
      <c r="S8407" s="11"/>
    </row>
    <row r="8408" spans="1:19" s="9" customFormat="1" x14ac:dyDescent="0.25">
      <c r="A8408" s="10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  <c r="Q8408" s="11"/>
      <c r="R8408" s="11"/>
      <c r="S8408" s="11"/>
    </row>
    <row r="8409" spans="1:19" s="9" customFormat="1" x14ac:dyDescent="0.25">
      <c r="A8409" s="10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  <c r="Q8409" s="11"/>
      <c r="R8409" s="11"/>
      <c r="S8409" s="11"/>
    </row>
    <row r="8410" spans="1:19" s="9" customFormat="1" x14ac:dyDescent="0.25">
      <c r="A8410" s="10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  <c r="Q8410" s="11"/>
      <c r="R8410" s="11"/>
      <c r="S8410" s="11"/>
    </row>
    <row r="8411" spans="1:19" s="9" customFormat="1" x14ac:dyDescent="0.25">
      <c r="A8411" s="10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  <c r="Q8411" s="11"/>
      <c r="R8411" s="11"/>
      <c r="S8411" s="11"/>
    </row>
    <row r="8412" spans="1:19" s="9" customFormat="1" x14ac:dyDescent="0.25">
      <c r="A8412" s="10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  <c r="Q8412" s="11"/>
      <c r="R8412" s="11"/>
      <c r="S8412" s="11"/>
    </row>
    <row r="8413" spans="1:19" s="9" customFormat="1" x14ac:dyDescent="0.25">
      <c r="A8413" s="10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  <c r="Q8413" s="11"/>
      <c r="R8413" s="11"/>
      <c r="S8413" s="11"/>
    </row>
    <row r="8414" spans="1:19" s="9" customFormat="1" x14ac:dyDescent="0.25">
      <c r="A8414" s="10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  <c r="Q8414" s="11"/>
      <c r="R8414" s="11"/>
      <c r="S8414" s="11"/>
    </row>
    <row r="8415" spans="1:19" s="9" customFormat="1" x14ac:dyDescent="0.25">
      <c r="A8415" s="10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  <c r="Q8415" s="11"/>
      <c r="R8415" s="11"/>
      <c r="S8415" s="11"/>
    </row>
    <row r="8416" spans="1:19" s="9" customFormat="1" x14ac:dyDescent="0.25">
      <c r="A8416" s="10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  <c r="Q8416" s="11"/>
      <c r="R8416" s="11"/>
      <c r="S8416" s="11"/>
    </row>
    <row r="8417" spans="1:19" s="9" customFormat="1" x14ac:dyDescent="0.25">
      <c r="A8417" s="10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  <c r="Q8417" s="11"/>
      <c r="R8417" s="11"/>
      <c r="S8417" s="11"/>
    </row>
    <row r="8418" spans="1:19" s="9" customFormat="1" x14ac:dyDescent="0.25">
      <c r="A8418" s="10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  <c r="Q8418" s="11"/>
      <c r="R8418" s="11"/>
      <c r="S8418" s="11"/>
    </row>
    <row r="8419" spans="1:19" s="9" customFormat="1" x14ac:dyDescent="0.25">
      <c r="A8419" s="10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  <c r="Q8419" s="11"/>
      <c r="R8419" s="11"/>
      <c r="S8419" s="11"/>
    </row>
    <row r="8420" spans="1:19" s="9" customFormat="1" x14ac:dyDescent="0.25">
      <c r="A8420" s="10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  <c r="Q8420" s="11"/>
      <c r="R8420" s="11"/>
      <c r="S8420" s="11"/>
    </row>
    <row r="8421" spans="1:19" s="9" customFormat="1" x14ac:dyDescent="0.25">
      <c r="A8421" s="10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  <c r="Q8421" s="11"/>
      <c r="R8421" s="11"/>
      <c r="S8421" s="11"/>
    </row>
    <row r="8422" spans="1:19" s="9" customFormat="1" x14ac:dyDescent="0.25">
      <c r="A8422" s="10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  <c r="Q8422" s="11"/>
      <c r="R8422" s="11"/>
      <c r="S8422" s="11"/>
    </row>
    <row r="8423" spans="1:19" s="9" customFormat="1" x14ac:dyDescent="0.25">
      <c r="A8423" s="10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  <c r="Q8423" s="11"/>
      <c r="R8423" s="11"/>
      <c r="S8423" s="11"/>
    </row>
    <row r="8424" spans="1:19" s="9" customFormat="1" x14ac:dyDescent="0.25">
      <c r="A8424" s="10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  <c r="Q8424" s="11"/>
      <c r="R8424" s="11"/>
      <c r="S8424" s="11"/>
    </row>
    <row r="8425" spans="1:19" s="9" customFormat="1" x14ac:dyDescent="0.25">
      <c r="A8425" s="10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  <c r="Q8425" s="11"/>
      <c r="R8425" s="11"/>
      <c r="S8425" s="11"/>
    </row>
    <row r="8426" spans="1:19" s="9" customFormat="1" x14ac:dyDescent="0.25">
      <c r="A8426" s="10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  <c r="Q8426" s="11"/>
      <c r="R8426" s="11"/>
      <c r="S8426" s="11"/>
    </row>
    <row r="8427" spans="1:19" s="9" customFormat="1" x14ac:dyDescent="0.25">
      <c r="A8427" s="10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  <c r="Q8427" s="11"/>
      <c r="R8427" s="11"/>
      <c r="S8427" s="11"/>
    </row>
    <row r="8428" spans="1:19" s="9" customFormat="1" x14ac:dyDescent="0.25">
      <c r="A8428" s="10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  <c r="Q8428" s="11"/>
      <c r="R8428" s="11"/>
      <c r="S8428" s="11"/>
    </row>
    <row r="8429" spans="1:19" s="9" customFormat="1" x14ac:dyDescent="0.25">
      <c r="A8429" s="10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  <c r="Q8429" s="11"/>
      <c r="R8429" s="11"/>
      <c r="S8429" s="11"/>
    </row>
    <row r="8430" spans="1:19" s="9" customFormat="1" x14ac:dyDescent="0.25">
      <c r="A8430" s="10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  <c r="Q8430" s="11"/>
      <c r="R8430" s="11"/>
      <c r="S8430" s="11"/>
    </row>
    <row r="8431" spans="1:19" s="9" customFormat="1" x14ac:dyDescent="0.25">
      <c r="A8431" s="10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  <c r="Q8431" s="11"/>
      <c r="R8431" s="11"/>
      <c r="S8431" s="11"/>
    </row>
    <row r="8432" spans="1:19" s="9" customFormat="1" x14ac:dyDescent="0.25">
      <c r="A8432" s="10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  <c r="Q8432" s="11"/>
      <c r="R8432" s="11"/>
      <c r="S8432" s="11"/>
    </row>
    <row r="8433" spans="1:19" s="9" customFormat="1" x14ac:dyDescent="0.25">
      <c r="A8433" s="10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  <c r="Q8433" s="11"/>
      <c r="R8433" s="11"/>
      <c r="S8433" s="11"/>
    </row>
    <row r="8434" spans="1:19" s="9" customFormat="1" x14ac:dyDescent="0.25">
      <c r="A8434" s="10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  <c r="Q8434" s="11"/>
      <c r="R8434" s="11"/>
      <c r="S8434" s="11"/>
    </row>
    <row r="8435" spans="1:19" s="9" customFormat="1" x14ac:dyDescent="0.25">
      <c r="A8435" s="10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  <c r="Q8435" s="11"/>
      <c r="R8435" s="11"/>
      <c r="S8435" s="11"/>
    </row>
    <row r="8436" spans="1:19" s="9" customFormat="1" x14ac:dyDescent="0.25">
      <c r="A8436" s="10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  <c r="Q8436" s="11"/>
      <c r="R8436" s="11"/>
      <c r="S8436" s="11"/>
    </row>
    <row r="8437" spans="1:19" s="9" customFormat="1" x14ac:dyDescent="0.25">
      <c r="A8437" s="10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  <c r="Q8437" s="11"/>
      <c r="R8437" s="11"/>
      <c r="S8437" s="11"/>
    </row>
    <row r="8438" spans="1:19" s="9" customFormat="1" x14ac:dyDescent="0.25">
      <c r="A8438" s="10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  <c r="Q8438" s="11"/>
      <c r="R8438" s="11"/>
      <c r="S8438" s="11"/>
    </row>
    <row r="8439" spans="1:19" s="9" customFormat="1" x14ac:dyDescent="0.25">
      <c r="A8439" s="10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  <c r="Q8439" s="11"/>
      <c r="R8439" s="11"/>
      <c r="S8439" s="11"/>
    </row>
    <row r="8440" spans="1:19" s="9" customFormat="1" x14ac:dyDescent="0.25">
      <c r="A8440" s="10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  <c r="Q8440" s="11"/>
      <c r="R8440" s="11"/>
      <c r="S8440" s="11"/>
    </row>
    <row r="8441" spans="1:19" s="9" customFormat="1" x14ac:dyDescent="0.25">
      <c r="A8441" s="10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  <c r="Q8441" s="11"/>
      <c r="R8441" s="11"/>
      <c r="S8441" s="11"/>
    </row>
    <row r="8442" spans="1:19" s="9" customFormat="1" x14ac:dyDescent="0.25">
      <c r="A8442" s="10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  <c r="Q8442" s="11"/>
      <c r="R8442" s="11"/>
      <c r="S8442" s="11"/>
    </row>
    <row r="8443" spans="1:19" s="9" customFormat="1" x14ac:dyDescent="0.25">
      <c r="A8443" s="10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  <c r="Q8443" s="11"/>
      <c r="R8443" s="11"/>
      <c r="S8443" s="11"/>
    </row>
    <row r="8444" spans="1:19" s="9" customFormat="1" x14ac:dyDescent="0.25">
      <c r="A8444" s="10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  <c r="Q8444" s="11"/>
      <c r="R8444" s="11"/>
      <c r="S8444" s="11"/>
    </row>
    <row r="8445" spans="1:19" s="9" customFormat="1" x14ac:dyDescent="0.25">
      <c r="A8445" s="10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  <c r="Q8445" s="11"/>
      <c r="R8445" s="11"/>
      <c r="S8445" s="11"/>
    </row>
    <row r="8446" spans="1:19" s="9" customFormat="1" x14ac:dyDescent="0.25">
      <c r="A8446" s="10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  <c r="Q8446" s="11"/>
      <c r="R8446" s="11"/>
      <c r="S8446" s="11"/>
    </row>
    <row r="8447" spans="1:19" s="9" customFormat="1" x14ac:dyDescent="0.25">
      <c r="A8447" s="10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  <c r="Q8447" s="11"/>
      <c r="R8447" s="11"/>
      <c r="S8447" s="11"/>
    </row>
    <row r="8448" spans="1:19" s="9" customFormat="1" x14ac:dyDescent="0.25">
      <c r="A8448" s="10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  <c r="Q8448" s="11"/>
      <c r="R8448" s="11"/>
      <c r="S8448" s="11"/>
    </row>
    <row r="8449" spans="1:19" s="9" customFormat="1" x14ac:dyDescent="0.25">
      <c r="A8449" s="10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  <c r="Q8449" s="11"/>
      <c r="R8449" s="11"/>
      <c r="S8449" s="11"/>
    </row>
    <row r="8450" spans="1:19" s="9" customFormat="1" x14ac:dyDescent="0.25">
      <c r="A8450" s="10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  <c r="Q8450" s="11"/>
      <c r="R8450" s="11"/>
      <c r="S8450" s="11"/>
    </row>
    <row r="8451" spans="1:19" s="9" customFormat="1" x14ac:dyDescent="0.25">
      <c r="A8451" s="10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  <c r="Q8451" s="11"/>
      <c r="R8451" s="11"/>
      <c r="S8451" s="11"/>
    </row>
    <row r="8452" spans="1:19" s="9" customFormat="1" x14ac:dyDescent="0.25">
      <c r="A8452" s="10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  <c r="Q8452" s="11"/>
      <c r="R8452" s="11"/>
      <c r="S8452" s="11"/>
    </row>
    <row r="8453" spans="1:19" s="9" customFormat="1" x14ac:dyDescent="0.25">
      <c r="A8453" s="10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  <c r="Q8453" s="11"/>
      <c r="R8453" s="11"/>
      <c r="S8453" s="11"/>
    </row>
    <row r="8454" spans="1:19" s="9" customFormat="1" x14ac:dyDescent="0.25">
      <c r="A8454" s="10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  <c r="Q8454" s="11"/>
      <c r="R8454" s="11"/>
      <c r="S8454" s="11"/>
    </row>
    <row r="8455" spans="1:19" s="9" customFormat="1" x14ac:dyDescent="0.25">
      <c r="A8455" s="10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  <c r="Q8455" s="11"/>
      <c r="R8455" s="11"/>
      <c r="S8455" s="11"/>
    </row>
    <row r="8456" spans="1:19" s="9" customFormat="1" x14ac:dyDescent="0.25">
      <c r="A8456" s="10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  <c r="Q8456" s="11"/>
      <c r="R8456" s="11"/>
      <c r="S8456" s="11"/>
    </row>
    <row r="8457" spans="1:19" s="9" customFormat="1" x14ac:dyDescent="0.25">
      <c r="A8457" s="10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  <c r="Q8457" s="11"/>
      <c r="R8457" s="11"/>
      <c r="S8457" s="11"/>
    </row>
    <row r="8458" spans="1:19" s="9" customFormat="1" x14ac:dyDescent="0.25">
      <c r="A8458" s="10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  <c r="Q8458" s="11"/>
      <c r="R8458" s="11"/>
      <c r="S8458" s="11"/>
    </row>
    <row r="8459" spans="1:19" s="9" customFormat="1" x14ac:dyDescent="0.25">
      <c r="A8459" s="10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  <c r="Q8459" s="11"/>
      <c r="R8459" s="11"/>
      <c r="S8459" s="11"/>
    </row>
    <row r="8460" spans="1:19" s="9" customFormat="1" x14ac:dyDescent="0.25">
      <c r="A8460" s="10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  <c r="Q8460" s="11"/>
      <c r="R8460" s="11"/>
      <c r="S8460" s="11"/>
    </row>
    <row r="8461" spans="1:19" s="9" customFormat="1" x14ac:dyDescent="0.25">
      <c r="A8461" s="10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  <c r="Q8461" s="11"/>
      <c r="R8461" s="11"/>
      <c r="S8461" s="11"/>
    </row>
    <row r="8462" spans="1:19" s="9" customFormat="1" x14ac:dyDescent="0.25">
      <c r="A8462" s="10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  <c r="Q8462" s="11"/>
      <c r="R8462" s="11"/>
      <c r="S8462" s="11"/>
    </row>
    <row r="8463" spans="1:19" s="9" customFormat="1" x14ac:dyDescent="0.25">
      <c r="A8463" s="10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  <c r="Q8463" s="11"/>
      <c r="R8463" s="11"/>
      <c r="S8463" s="11"/>
    </row>
    <row r="8464" spans="1:19" s="9" customFormat="1" x14ac:dyDescent="0.25">
      <c r="A8464" s="10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  <c r="Q8464" s="11"/>
      <c r="R8464" s="11"/>
      <c r="S8464" s="11"/>
    </row>
    <row r="8465" spans="1:19" s="9" customFormat="1" x14ac:dyDescent="0.25">
      <c r="A8465" s="10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  <c r="Q8465" s="11"/>
      <c r="R8465" s="11"/>
      <c r="S8465" s="11"/>
    </row>
    <row r="8466" spans="1:19" s="9" customFormat="1" x14ac:dyDescent="0.25">
      <c r="A8466" s="10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  <c r="Q8466" s="11"/>
      <c r="R8466" s="11"/>
      <c r="S8466" s="11"/>
    </row>
    <row r="8467" spans="1:19" s="9" customFormat="1" x14ac:dyDescent="0.25">
      <c r="A8467" s="10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  <c r="Q8467" s="11"/>
      <c r="R8467" s="11"/>
      <c r="S8467" s="11"/>
    </row>
    <row r="8468" spans="1:19" s="9" customFormat="1" x14ac:dyDescent="0.25">
      <c r="A8468" s="10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  <c r="Q8468" s="11"/>
      <c r="R8468" s="11"/>
      <c r="S8468" s="11"/>
    </row>
    <row r="8469" spans="1:19" s="9" customFormat="1" x14ac:dyDescent="0.25">
      <c r="A8469" s="10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  <c r="Q8469" s="11"/>
      <c r="R8469" s="11"/>
      <c r="S8469" s="11"/>
    </row>
    <row r="8470" spans="1:19" s="9" customFormat="1" x14ac:dyDescent="0.25">
      <c r="A8470" s="10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  <c r="Q8470" s="11"/>
      <c r="R8470" s="11"/>
      <c r="S8470" s="11"/>
    </row>
    <row r="8471" spans="1:19" s="9" customFormat="1" x14ac:dyDescent="0.25">
      <c r="A8471" s="10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  <c r="Q8471" s="11"/>
      <c r="R8471" s="11"/>
      <c r="S8471" s="11"/>
    </row>
    <row r="8472" spans="1:19" s="9" customFormat="1" x14ac:dyDescent="0.25">
      <c r="A8472" s="10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  <c r="Q8472" s="11"/>
      <c r="R8472" s="11"/>
      <c r="S8472" s="11"/>
    </row>
    <row r="8473" spans="1:19" s="9" customFormat="1" x14ac:dyDescent="0.25">
      <c r="A8473" s="10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  <c r="Q8473" s="11"/>
      <c r="R8473" s="11"/>
      <c r="S8473" s="11"/>
    </row>
    <row r="8474" spans="1:19" s="9" customFormat="1" x14ac:dyDescent="0.25">
      <c r="A8474" s="10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  <c r="Q8474" s="11"/>
      <c r="R8474" s="11"/>
      <c r="S8474" s="11"/>
    </row>
    <row r="8475" spans="1:19" s="9" customFormat="1" x14ac:dyDescent="0.25">
      <c r="A8475" s="10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  <c r="Q8475" s="11"/>
      <c r="R8475" s="11"/>
      <c r="S8475" s="11"/>
    </row>
    <row r="8476" spans="1:19" s="9" customFormat="1" x14ac:dyDescent="0.25">
      <c r="A8476" s="10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  <c r="Q8476" s="11"/>
      <c r="R8476" s="11"/>
      <c r="S8476" s="11"/>
    </row>
    <row r="8477" spans="1:19" s="9" customFormat="1" x14ac:dyDescent="0.25">
      <c r="A8477" s="10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  <c r="Q8477" s="11"/>
      <c r="R8477" s="11"/>
      <c r="S8477" s="11"/>
    </row>
    <row r="8478" spans="1:19" s="9" customFormat="1" x14ac:dyDescent="0.25">
      <c r="A8478" s="10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  <c r="Q8478" s="11"/>
      <c r="R8478" s="11"/>
      <c r="S8478" s="11"/>
    </row>
    <row r="8479" spans="1:19" s="9" customFormat="1" x14ac:dyDescent="0.25">
      <c r="A8479" s="10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  <c r="Q8479" s="11"/>
      <c r="R8479" s="11"/>
      <c r="S8479" s="11"/>
    </row>
    <row r="8480" spans="1:19" s="9" customFormat="1" x14ac:dyDescent="0.25">
      <c r="A8480" s="10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  <c r="Q8480" s="11"/>
      <c r="R8480" s="11"/>
      <c r="S8480" s="11"/>
    </row>
    <row r="8481" spans="1:19" s="9" customFormat="1" x14ac:dyDescent="0.25">
      <c r="A8481" s="10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  <c r="Q8481" s="11"/>
      <c r="R8481" s="11"/>
      <c r="S8481" s="11"/>
    </row>
    <row r="8482" spans="1:19" s="9" customFormat="1" x14ac:dyDescent="0.25">
      <c r="A8482" s="10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  <c r="Q8482" s="11"/>
      <c r="R8482" s="11"/>
      <c r="S8482" s="11"/>
    </row>
    <row r="8483" spans="1:19" s="9" customFormat="1" x14ac:dyDescent="0.25">
      <c r="A8483" s="10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  <c r="Q8483" s="11"/>
      <c r="R8483" s="11"/>
      <c r="S8483" s="11"/>
    </row>
    <row r="8484" spans="1:19" s="9" customFormat="1" x14ac:dyDescent="0.25">
      <c r="A8484" s="10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  <c r="Q8484" s="11"/>
      <c r="R8484" s="11"/>
      <c r="S8484" s="11"/>
    </row>
    <row r="8485" spans="1:19" s="9" customFormat="1" x14ac:dyDescent="0.25">
      <c r="A8485" s="10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  <c r="Q8485" s="11"/>
      <c r="R8485" s="11"/>
      <c r="S8485" s="11"/>
    </row>
    <row r="8486" spans="1:19" s="9" customFormat="1" x14ac:dyDescent="0.25">
      <c r="A8486" s="10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  <c r="Q8486" s="11"/>
      <c r="R8486" s="11"/>
      <c r="S8486" s="11"/>
    </row>
    <row r="8487" spans="1:19" s="9" customFormat="1" x14ac:dyDescent="0.25">
      <c r="A8487" s="10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  <c r="Q8487" s="11"/>
      <c r="R8487" s="11"/>
      <c r="S8487" s="11"/>
    </row>
    <row r="8488" spans="1:19" s="9" customFormat="1" x14ac:dyDescent="0.25">
      <c r="A8488" s="10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  <c r="Q8488" s="11"/>
      <c r="R8488" s="11"/>
      <c r="S8488" s="11"/>
    </row>
    <row r="8489" spans="1:19" s="9" customFormat="1" x14ac:dyDescent="0.25">
      <c r="A8489" s="10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  <c r="Q8489" s="11"/>
      <c r="R8489" s="11"/>
      <c r="S8489" s="11"/>
    </row>
    <row r="8490" spans="1:19" s="9" customFormat="1" x14ac:dyDescent="0.25">
      <c r="A8490" s="10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  <c r="Q8490" s="11"/>
      <c r="R8490" s="11"/>
      <c r="S8490" s="11"/>
    </row>
    <row r="8491" spans="1:19" s="9" customFormat="1" x14ac:dyDescent="0.25">
      <c r="A8491" s="10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  <c r="Q8491" s="11"/>
      <c r="R8491" s="11"/>
      <c r="S8491" s="11"/>
    </row>
    <row r="8492" spans="1:19" s="9" customFormat="1" x14ac:dyDescent="0.25">
      <c r="A8492" s="10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  <c r="Q8492" s="11"/>
      <c r="R8492" s="11"/>
      <c r="S8492" s="11"/>
    </row>
    <row r="8493" spans="1:19" s="9" customFormat="1" x14ac:dyDescent="0.25">
      <c r="A8493" s="10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  <c r="Q8493" s="11"/>
      <c r="R8493" s="11"/>
      <c r="S8493" s="11"/>
    </row>
    <row r="8494" spans="1:19" s="9" customFormat="1" x14ac:dyDescent="0.25">
      <c r="A8494" s="10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  <c r="Q8494" s="11"/>
      <c r="R8494" s="11"/>
      <c r="S8494" s="11"/>
    </row>
    <row r="8495" spans="1:19" s="9" customFormat="1" x14ac:dyDescent="0.25">
      <c r="A8495" s="10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  <c r="Q8495" s="11"/>
      <c r="R8495" s="11"/>
      <c r="S8495" s="11"/>
    </row>
    <row r="8496" spans="1:19" s="9" customFormat="1" x14ac:dyDescent="0.25">
      <c r="A8496" s="10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  <c r="Q8496" s="11"/>
      <c r="R8496" s="11"/>
      <c r="S8496" s="11"/>
    </row>
    <row r="8497" spans="1:19" s="9" customFormat="1" x14ac:dyDescent="0.25">
      <c r="A8497" s="10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  <c r="Q8497" s="11"/>
      <c r="R8497" s="11"/>
      <c r="S8497" s="11"/>
    </row>
    <row r="8498" spans="1:19" s="9" customFormat="1" x14ac:dyDescent="0.25">
      <c r="A8498" s="10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  <c r="Q8498" s="11"/>
      <c r="R8498" s="11"/>
      <c r="S8498" s="11"/>
    </row>
    <row r="8499" spans="1:19" s="9" customFormat="1" x14ac:dyDescent="0.25">
      <c r="A8499" s="10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  <c r="Q8499" s="11"/>
      <c r="R8499" s="11"/>
      <c r="S8499" s="11"/>
    </row>
    <row r="8500" spans="1:19" s="9" customFormat="1" x14ac:dyDescent="0.25">
      <c r="A8500" s="10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  <c r="Q8500" s="11"/>
      <c r="R8500" s="11"/>
      <c r="S8500" s="11"/>
    </row>
    <row r="8501" spans="1:19" s="9" customFormat="1" x14ac:dyDescent="0.25">
      <c r="A8501" s="10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  <c r="Q8501" s="11"/>
      <c r="R8501" s="11"/>
      <c r="S8501" s="11"/>
    </row>
    <row r="8502" spans="1:19" s="9" customFormat="1" x14ac:dyDescent="0.25">
      <c r="A8502" s="10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  <c r="Q8502" s="11"/>
      <c r="R8502" s="11"/>
      <c r="S8502" s="11"/>
    </row>
    <row r="8503" spans="1:19" s="9" customFormat="1" x14ac:dyDescent="0.25">
      <c r="A8503" s="10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  <c r="Q8503" s="11"/>
      <c r="R8503" s="11"/>
      <c r="S8503" s="11"/>
    </row>
    <row r="8504" spans="1:19" s="9" customFormat="1" x14ac:dyDescent="0.25">
      <c r="A8504" s="10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  <c r="Q8504" s="11"/>
      <c r="R8504" s="11"/>
      <c r="S8504" s="11"/>
    </row>
    <row r="8505" spans="1:19" s="9" customFormat="1" x14ac:dyDescent="0.25">
      <c r="A8505" s="10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  <c r="Q8505" s="11"/>
      <c r="R8505" s="11"/>
      <c r="S8505" s="11"/>
    </row>
    <row r="8506" spans="1:19" s="9" customFormat="1" x14ac:dyDescent="0.25">
      <c r="A8506" s="10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  <c r="Q8506" s="11"/>
      <c r="R8506" s="11"/>
      <c r="S8506" s="11"/>
    </row>
    <row r="8507" spans="1:19" s="9" customFormat="1" x14ac:dyDescent="0.25">
      <c r="A8507" s="10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  <c r="Q8507" s="11"/>
      <c r="R8507" s="11"/>
      <c r="S8507" s="11"/>
    </row>
    <row r="8508" spans="1:19" s="9" customFormat="1" x14ac:dyDescent="0.25">
      <c r="A8508" s="10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  <c r="Q8508" s="11"/>
      <c r="R8508" s="11"/>
      <c r="S8508" s="11"/>
    </row>
    <row r="8509" spans="1:19" s="9" customFormat="1" x14ac:dyDescent="0.25">
      <c r="A8509" s="10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  <c r="Q8509" s="11"/>
      <c r="R8509" s="11"/>
      <c r="S8509" s="11"/>
    </row>
    <row r="8510" spans="1:19" s="9" customFormat="1" x14ac:dyDescent="0.25">
      <c r="A8510" s="10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  <c r="Q8510" s="11"/>
      <c r="R8510" s="11"/>
      <c r="S8510" s="11"/>
    </row>
    <row r="8511" spans="1:19" s="9" customFormat="1" x14ac:dyDescent="0.25">
      <c r="A8511" s="10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  <c r="Q8511" s="11"/>
      <c r="R8511" s="11"/>
      <c r="S8511" s="11"/>
    </row>
    <row r="8512" spans="1:19" s="9" customFormat="1" x14ac:dyDescent="0.25">
      <c r="A8512" s="10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  <c r="Q8512" s="11"/>
      <c r="R8512" s="11"/>
      <c r="S8512" s="11"/>
    </row>
    <row r="8513" spans="1:19" s="9" customFormat="1" x14ac:dyDescent="0.25">
      <c r="A8513" s="10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  <c r="Q8513" s="11"/>
      <c r="R8513" s="11"/>
      <c r="S8513" s="11"/>
    </row>
    <row r="8514" spans="1:19" s="9" customFormat="1" x14ac:dyDescent="0.25">
      <c r="A8514" s="10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  <c r="Q8514" s="11"/>
      <c r="R8514" s="11"/>
      <c r="S8514" s="11"/>
    </row>
    <row r="8515" spans="1:19" s="9" customFormat="1" x14ac:dyDescent="0.25">
      <c r="A8515" s="10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  <c r="Q8515" s="11"/>
      <c r="R8515" s="11"/>
      <c r="S8515" s="11"/>
    </row>
    <row r="8516" spans="1:19" s="9" customFormat="1" x14ac:dyDescent="0.25">
      <c r="A8516" s="10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  <c r="Q8516" s="11"/>
      <c r="R8516" s="11"/>
      <c r="S8516" s="11"/>
    </row>
    <row r="8517" spans="1:19" s="9" customFormat="1" x14ac:dyDescent="0.25">
      <c r="A8517" s="10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  <c r="Q8517" s="11"/>
      <c r="R8517" s="11"/>
      <c r="S8517" s="11"/>
    </row>
    <row r="8518" spans="1:19" s="9" customFormat="1" x14ac:dyDescent="0.25">
      <c r="A8518" s="10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  <c r="Q8518" s="11"/>
      <c r="R8518" s="11"/>
      <c r="S8518" s="11"/>
    </row>
    <row r="8519" spans="1:19" s="9" customFormat="1" x14ac:dyDescent="0.25">
      <c r="A8519" s="10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  <c r="Q8519" s="11"/>
      <c r="R8519" s="11"/>
      <c r="S8519" s="11"/>
    </row>
    <row r="8520" spans="1:19" s="9" customFormat="1" x14ac:dyDescent="0.25">
      <c r="A8520" s="10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  <c r="Q8520" s="11"/>
      <c r="R8520" s="11"/>
      <c r="S8520" s="11"/>
    </row>
    <row r="8521" spans="1:19" s="9" customFormat="1" x14ac:dyDescent="0.25">
      <c r="A8521" s="10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  <c r="Q8521" s="11"/>
      <c r="R8521" s="11"/>
      <c r="S8521" s="11"/>
    </row>
    <row r="8522" spans="1:19" s="9" customFormat="1" x14ac:dyDescent="0.25">
      <c r="A8522" s="10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  <c r="Q8522" s="11"/>
      <c r="R8522" s="11"/>
      <c r="S8522" s="11"/>
    </row>
    <row r="8523" spans="1:19" s="9" customFormat="1" x14ac:dyDescent="0.25">
      <c r="A8523" s="10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  <c r="Q8523" s="11"/>
      <c r="R8523" s="11"/>
      <c r="S8523" s="11"/>
    </row>
    <row r="8524" spans="1:19" s="9" customFormat="1" x14ac:dyDescent="0.25">
      <c r="A8524" s="10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  <c r="Q8524" s="11"/>
      <c r="R8524" s="11"/>
      <c r="S8524" s="11"/>
    </row>
    <row r="8525" spans="1:19" s="9" customFormat="1" x14ac:dyDescent="0.25">
      <c r="A8525" s="10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  <c r="Q8525" s="11"/>
      <c r="R8525" s="11"/>
      <c r="S8525" s="11"/>
    </row>
    <row r="8526" spans="1:19" s="9" customFormat="1" x14ac:dyDescent="0.25">
      <c r="A8526" s="10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  <c r="Q8526" s="11"/>
      <c r="R8526" s="11"/>
      <c r="S8526" s="11"/>
    </row>
    <row r="8527" spans="1:19" s="9" customFormat="1" x14ac:dyDescent="0.25">
      <c r="A8527" s="10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  <c r="Q8527" s="11"/>
      <c r="R8527" s="11"/>
      <c r="S8527" s="11"/>
    </row>
    <row r="8528" spans="1:19" s="9" customFormat="1" x14ac:dyDescent="0.25">
      <c r="A8528" s="10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  <c r="Q8528" s="11"/>
      <c r="R8528" s="11"/>
      <c r="S8528" s="11"/>
    </row>
    <row r="8529" spans="1:19" s="9" customFormat="1" x14ac:dyDescent="0.25">
      <c r="A8529" s="10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  <c r="Q8529" s="11"/>
      <c r="R8529" s="11"/>
      <c r="S8529" s="11"/>
    </row>
    <row r="8530" spans="1:19" s="9" customFormat="1" x14ac:dyDescent="0.25">
      <c r="A8530" s="10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  <c r="Q8530" s="11"/>
      <c r="R8530" s="11"/>
      <c r="S8530" s="11"/>
    </row>
    <row r="8531" spans="1:19" s="9" customFormat="1" x14ac:dyDescent="0.25">
      <c r="A8531" s="10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  <c r="Q8531" s="11"/>
      <c r="R8531" s="11"/>
      <c r="S8531" s="11"/>
    </row>
    <row r="8532" spans="1:19" s="9" customFormat="1" x14ac:dyDescent="0.25">
      <c r="A8532" s="10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  <c r="Q8532" s="11"/>
      <c r="R8532" s="11"/>
      <c r="S8532" s="11"/>
    </row>
    <row r="8533" spans="1:19" s="9" customFormat="1" x14ac:dyDescent="0.25">
      <c r="A8533" s="10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  <c r="Q8533" s="11"/>
      <c r="R8533" s="11"/>
      <c r="S8533" s="11"/>
    </row>
    <row r="8534" spans="1:19" s="9" customFormat="1" x14ac:dyDescent="0.25">
      <c r="A8534" s="10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  <c r="Q8534" s="11"/>
      <c r="R8534" s="11"/>
      <c r="S8534" s="11"/>
    </row>
    <row r="8535" spans="1:19" s="9" customFormat="1" x14ac:dyDescent="0.25">
      <c r="A8535" s="10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  <c r="Q8535" s="11"/>
      <c r="R8535" s="11"/>
      <c r="S8535" s="11"/>
    </row>
    <row r="8536" spans="1:19" s="9" customFormat="1" x14ac:dyDescent="0.25">
      <c r="A8536" s="10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  <c r="Q8536" s="11"/>
      <c r="R8536" s="11"/>
      <c r="S8536" s="11"/>
    </row>
    <row r="8537" spans="1:19" s="9" customFormat="1" x14ac:dyDescent="0.25">
      <c r="A8537" s="10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  <c r="Q8537" s="11"/>
      <c r="R8537" s="11"/>
      <c r="S8537" s="11"/>
    </row>
    <row r="8538" spans="1:19" s="9" customFormat="1" x14ac:dyDescent="0.25">
      <c r="A8538" s="10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  <c r="Q8538" s="11"/>
      <c r="R8538" s="11"/>
      <c r="S8538" s="11"/>
    </row>
    <row r="8539" spans="1:19" s="9" customFormat="1" x14ac:dyDescent="0.25">
      <c r="A8539" s="10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  <c r="Q8539" s="11"/>
      <c r="R8539" s="11"/>
      <c r="S8539" s="11"/>
    </row>
    <row r="8540" spans="1:19" s="9" customFormat="1" x14ac:dyDescent="0.25">
      <c r="A8540" s="10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  <c r="Q8540" s="11"/>
      <c r="R8540" s="11"/>
      <c r="S8540" s="11"/>
    </row>
    <row r="8541" spans="1:19" s="9" customFormat="1" x14ac:dyDescent="0.25">
      <c r="A8541" s="10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  <c r="Q8541" s="11"/>
      <c r="R8541" s="11"/>
      <c r="S8541" s="11"/>
    </row>
    <row r="8542" spans="1:19" s="9" customFormat="1" x14ac:dyDescent="0.25">
      <c r="A8542" s="10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  <c r="Q8542" s="11"/>
      <c r="R8542" s="11"/>
      <c r="S8542" s="11"/>
    </row>
    <row r="8543" spans="1:19" s="9" customFormat="1" x14ac:dyDescent="0.25">
      <c r="A8543" s="10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  <c r="Q8543" s="11"/>
      <c r="R8543" s="11"/>
      <c r="S8543" s="11"/>
    </row>
    <row r="8544" spans="1:19" s="9" customFormat="1" x14ac:dyDescent="0.25">
      <c r="A8544" s="10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  <c r="Q8544" s="11"/>
      <c r="R8544" s="11"/>
      <c r="S8544" s="11"/>
    </row>
    <row r="8545" spans="1:19" s="9" customFormat="1" x14ac:dyDescent="0.25">
      <c r="A8545" s="10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  <c r="Q8545" s="11"/>
      <c r="R8545" s="11"/>
      <c r="S8545" s="11"/>
    </row>
    <row r="8546" spans="1:19" s="9" customFormat="1" x14ac:dyDescent="0.25">
      <c r="A8546" s="10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  <c r="Q8546" s="11"/>
      <c r="R8546" s="11"/>
      <c r="S8546" s="11"/>
    </row>
    <row r="8547" spans="1:19" s="9" customFormat="1" x14ac:dyDescent="0.25">
      <c r="A8547" s="10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  <c r="Q8547" s="11"/>
      <c r="R8547" s="11"/>
      <c r="S8547" s="11"/>
    </row>
    <row r="8548" spans="1:19" s="9" customFormat="1" x14ac:dyDescent="0.25">
      <c r="A8548" s="10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  <c r="Q8548" s="11"/>
      <c r="R8548" s="11"/>
      <c r="S8548" s="11"/>
    </row>
    <row r="8549" spans="1:19" s="9" customFormat="1" x14ac:dyDescent="0.25">
      <c r="A8549" s="10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  <c r="Q8549" s="11"/>
      <c r="R8549" s="11"/>
      <c r="S8549" s="11"/>
    </row>
    <row r="8550" spans="1:19" s="9" customFormat="1" x14ac:dyDescent="0.25">
      <c r="A8550" s="10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  <c r="Q8550" s="11"/>
      <c r="R8550" s="11"/>
      <c r="S8550" s="11"/>
    </row>
    <row r="8551" spans="1:19" s="9" customFormat="1" x14ac:dyDescent="0.25">
      <c r="A8551" s="10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  <c r="Q8551" s="11"/>
      <c r="R8551" s="11"/>
      <c r="S8551" s="11"/>
    </row>
    <row r="8552" spans="1:19" s="9" customFormat="1" x14ac:dyDescent="0.25">
      <c r="A8552" s="10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  <c r="Q8552" s="11"/>
      <c r="R8552" s="11"/>
      <c r="S8552" s="11"/>
    </row>
    <row r="8553" spans="1:19" s="9" customFormat="1" x14ac:dyDescent="0.25">
      <c r="A8553" s="10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  <c r="Q8553" s="11"/>
      <c r="R8553" s="11"/>
      <c r="S8553" s="11"/>
    </row>
    <row r="8554" spans="1:19" s="9" customFormat="1" x14ac:dyDescent="0.25">
      <c r="A8554" s="10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  <c r="Q8554" s="11"/>
      <c r="R8554" s="11"/>
      <c r="S8554" s="11"/>
    </row>
    <row r="8555" spans="1:19" s="9" customFormat="1" x14ac:dyDescent="0.25">
      <c r="A8555" s="10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  <c r="Q8555" s="11"/>
      <c r="R8555" s="11"/>
      <c r="S8555" s="11"/>
    </row>
    <row r="8556" spans="1:19" s="9" customFormat="1" x14ac:dyDescent="0.25">
      <c r="A8556" s="10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  <c r="Q8556" s="11"/>
      <c r="R8556" s="11"/>
      <c r="S8556" s="11"/>
    </row>
    <row r="8557" spans="1:19" s="9" customFormat="1" x14ac:dyDescent="0.25">
      <c r="A8557" s="10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  <c r="Q8557" s="11"/>
      <c r="R8557" s="11"/>
      <c r="S8557" s="11"/>
    </row>
    <row r="8558" spans="1:19" s="9" customFormat="1" x14ac:dyDescent="0.25">
      <c r="A8558" s="10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  <c r="Q8558" s="11"/>
      <c r="R8558" s="11"/>
      <c r="S8558" s="11"/>
    </row>
    <row r="8559" spans="1:19" s="9" customFormat="1" x14ac:dyDescent="0.25">
      <c r="A8559" s="10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  <c r="Q8559" s="11"/>
      <c r="R8559" s="11"/>
      <c r="S8559" s="11"/>
    </row>
    <row r="8560" spans="1:19" s="9" customFormat="1" x14ac:dyDescent="0.25">
      <c r="A8560" s="10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  <c r="Q8560" s="11"/>
      <c r="R8560" s="11"/>
      <c r="S8560" s="11"/>
    </row>
    <row r="8561" spans="1:19" s="9" customFormat="1" x14ac:dyDescent="0.25">
      <c r="A8561" s="10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  <c r="Q8561" s="11"/>
      <c r="R8561" s="11"/>
      <c r="S8561" s="11"/>
    </row>
    <row r="8562" spans="1:19" s="9" customFormat="1" x14ac:dyDescent="0.25">
      <c r="A8562" s="10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  <c r="Q8562" s="11"/>
      <c r="R8562" s="11"/>
      <c r="S8562" s="11"/>
    </row>
    <row r="8563" spans="1:19" s="9" customFormat="1" x14ac:dyDescent="0.25">
      <c r="A8563" s="10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  <c r="Q8563" s="11"/>
      <c r="R8563" s="11"/>
      <c r="S8563" s="11"/>
    </row>
    <row r="8564" spans="1:19" s="9" customFormat="1" x14ac:dyDescent="0.25">
      <c r="A8564" s="10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  <c r="Q8564" s="11"/>
      <c r="R8564" s="11"/>
      <c r="S8564" s="11"/>
    </row>
    <row r="8565" spans="1:19" s="9" customFormat="1" x14ac:dyDescent="0.25">
      <c r="A8565" s="10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  <c r="Q8565" s="11"/>
      <c r="R8565" s="11"/>
      <c r="S8565" s="11"/>
    </row>
    <row r="8566" spans="1:19" s="9" customFormat="1" x14ac:dyDescent="0.25">
      <c r="A8566" s="10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  <c r="Q8566" s="11"/>
      <c r="R8566" s="11"/>
      <c r="S8566" s="11"/>
    </row>
    <row r="8567" spans="1:19" s="9" customFormat="1" x14ac:dyDescent="0.25">
      <c r="A8567" s="10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  <c r="Q8567" s="11"/>
      <c r="R8567" s="11"/>
      <c r="S8567" s="11"/>
    </row>
    <row r="8568" spans="1:19" s="9" customFormat="1" x14ac:dyDescent="0.25">
      <c r="A8568" s="10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  <c r="Q8568" s="11"/>
      <c r="R8568" s="11"/>
      <c r="S8568" s="11"/>
    </row>
    <row r="8569" spans="1:19" s="9" customFormat="1" x14ac:dyDescent="0.25">
      <c r="A8569" s="10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  <c r="Q8569" s="11"/>
      <c r="R8569" s="11"/>
      <c r="S8569" s="11"/>
    </row>
    <row r="8570" spans="1:19" s="9" customFormat="1" x14ac:dyDescent="0.25">
      <c r="A8570" s="10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  <c r="Q8570" s="11"/>
      <c r="R8570" s="11"/>
      <c r="S8570" s="11"/>
    </row>
    <row r="8571" spans="1:19" s="9" customFormat="1" x14ac:dyDescent="0.25">
      <c r="A8571" s="10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  <c r="Q8571" s="11"/>
      <c r="R8571" s="11"/>
      <c r="S8571" s="11"/>
    </row>
    <row r="8572" spans="1:19" s="9" customFormat="1" x14ac:dyDescent="0.25">
      <c r="A8572" s="10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  <c r="Q8572" s="11"/>
      <c r="R8572" s="11"/>
      <c r="S8572" s="11"/>
    </row>
    <row r="8573" spans="1:19" s="9" customFormat="1" x14ac:dyDescent="0.25">
      <c r="A8573" s="10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  <c r="Q8573" s="11"/>
      <c r="R8573" s="11"/>
      <c r="S8573" s="11"/>
    </row>
    <row r="8574" spans="1:19" s="9" customFormat="1" x14ac:dyDescent="0.25">
      <c r="A8574" s="10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  <c r="Q8574" s="11"/>
      <c r="R8574" s="11"/>
      <c r="S8574" s="11"/>
    </row>
    <row r="8575" spans="1:19" s="9" customFormat="1" x14ac:dyDescent="0.25">
      <c r="A8575" s="10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  <c r="Q8575" s="11"/>
      <c r="R8575" s="11"/>
      <c r="S8575" s="11"/>
    </row>
    <row r="8576" spans="1:19" s="9" customFormat="1" x14ac:dyDescent="0.25">
      <c r="A8576" s="10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  <c r="Q8576" s="11"/>
      <c r="R8576" s="11"/>
      <c r="S8576" s="11"/>
    </row>
    <row r="8577" spans="1:19" s="9" customFormat="1" x14ac:dyDescent="0.25">
      <c r="A8577" s="10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  <c r="Q8577" s="11"/>
      <c r="R8577" s="11"/>
      <c r="S8577" s="11"/>
    </row>
    <row r="8578" spans="1:19" s="9" customFormat="1" x14ac:dyDescent="0.25">
      <c r="A8578" s="10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  <c r="Q8578" s="11"/>
      <c r="R8578" s="11"/>
      <c r="S8578" s="11"/>
    </row>
    <row r="8579" spans="1:19" s="9" customFormat="1" x14ac:dyDescent="0.25">
      <c r="A8579" s="10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  <c r="Q8579" s="11"/>
      <c r="R8579" s="11"/>
      <c r="S8579" s="11"/>
    </row>
    <row r="8580" spans="1:19" s="9" customFormat="1" x14ac:dyDescent="0.25">
      <c r="A8580" s="10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  <c r="Q8580" s="11"/>
      <c r="R8580" s="11"/>
      <c r="S8580" s="11"/>
    </row>
    <row r="8581" spans="1:19" s="9" customFormat="1" x14ac:dyDescent="0.25">
      <c r="A8581" s="10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  <c r="Q8581" s="11"/>
      <c r="R8581" s="11"/>
      <c r="S8581" s="11"/>
    </row>
    <row r="8582" spans="1:19" s="9" customFormat="1" x14ac:dyDescent="0.25">
      <c r="A8582" s="10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  <c r="Q8582" s="11"/>
      <c r="R8582" s="11"/>
      <c r="S8582" s="11"/>
    </row>
    <row r="8583" spans="1:19" s="9" customFormat="1" x14ac:dyDescent="0.25">
      <c r="A8583" s="10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  <c r="Q8583" s="11"/>
      <c r="R8583" s="11"/>
      <c r="S8583" s="11"/>
    </row>
    <row r="8584" spans="1:19" s="9" customFormat="1" x14ac:dyDescent="0.25">
      <c r="A8584" s="10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  <c r="Q8584" s="11"/>
      <c r="R8584" s="11"/>
      <c r="S8584" s="11"/>
    </row>
    <row r="8585" spans="1:19" s="9" customFormat="1" x14ac:dyDescent="0.25">
      <c r="A8585" s="10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  <c r="Q8585" s="11"/>
      <c r="R8585" s="11"/>
      <c r="S8585" s="11"/>
    </row>
    <row r="8586" spans="1:19" s="9" customFormat="1" x14ac:dyDescent="0.25">
      <c r="A8586" s="10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  <c r="Q8586" s="11"/>
      <c r="R8586" s="11"/>
      <c r="S8586" s="11"/>
    </row>
    <row r="8587" spans="1:19" s="9" customFormat="1" x14ac:dyDescent="0.25">
      <c r="A8587" s="10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  <c r="Q8587" s="11"/>
      <c r="R8587" s="11"/>
      <c r="S8587" s="11"/>
    </row>
    <row r="8588" spans="1:19" s="9" customFormat="1" x14ac:dyDescent="0.25">
      <c r="A8588" s="10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  <c r="Q8588" s="11"/>
      <c r="R8588" s="11"/>
      <c r="S8588" s="11"/>
    </row>
    <row r="8589" spans="1:19" s="9" customFormat="1" x14ac:dyDescent="0.25">
      <c r="A8589" s="10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  <c r="Q8589" s="11"/>
      <c r="R8589" s="11"/>
      <c r="S8589" s="11"/>
    </row>
    <row r="8590" spans="1:19" s="9" customFormat="1" x14ac:dyDescent="0.25">
      <c r="A8590" s="10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  <c r="Q8590" s="11"/>
      <c r="R8590" s="11"/>
      <c r="S8590" s="11"/>
    </row>
    <row r="8591" spans="1:19" s="9" customFormat="1" x14ac:dyDescent="0.25">
      <c r="A8591" s="10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  <c r="Q8591" s="11"/>
      <c r="R8591" s="11"/>
      <c r="S8591" s="11"/>
    </row>
    <row r="8592" spans="1:19" s="9" customFormat="1" x14ac:dyDescent="0.25">
      <c r="A8592" s="10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  <c r="Q8592" s="11"/>
      <c r="R8592" s="11"/>
      <c r="S8592" s="11"/>
    </row>
    <row r="8593" spans="1:19" s="9" customFormat="1" x14ac:dyDescent="0.25">
      <c r="A8593" s="10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  <c r="Q8593" s="11"/>
      <c r="R8593" s="11"/>
      <c r="S8593" s="11"/>
    </row>
    <row r="8594" spans="1:19" s="9" customFormat="1" x14ac:dyDescent="0.25">
      <c r="A8594" s="10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  <c r="Q8594" s="11"/>
      <c r="R8594" s="11"/>
      <c r="S8594" s="11"/>
    </row>
    <row r="8595" spans="1:19" s="9" customFormat="1" x14ac:dyDescent="0.25">
      <c r="A8595" s="10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  <c r="Q8595" s="11"/>
      <c r="R8595" s="11"/>
      <c r="S8595" s="11"/>
    </row>
    <row r="8596" spans="1:19" s="9" customFormat="1" x14ac:dyDescent="0.25">
      <c r="A8596" s="10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  <c r="Q8596" s="11"/>
      <c r="R8596" s="11"/>
      <c r="S8596" s="11"/>
    </row>
    <row r="8597" spans="1:19" s="9" customFormat="1" x14ac:dyDescent="0.25">
      <c r="A8597" s="10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  <c r="Q8597" s="11"/>
      <c r="R8597" s="11"/>
      <c r="S8597" s="11"/>
    </row>
    <row r="8598" spans="1:19" s="9" customFormat="1" x14ac:dyDescent="0.25">
      <c r="A8598" s="10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  <c r="Q8598" s="11"/>
      <c r="R8598" s="11"/>
      <c r="S8598" s="11"/>
    </row>
    <row r="8599" spans="1:19" s="9" customFormat="1" x14ac:dyDescent="0.25">
      <c r="A8599" s="10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  <c r="Q8599" s="11"/>
      <c r="R8599" s="11"/>
      <c r="S8599" s="11"/>
    </row>
    <row r="8600" spans="1:19" s="9" customFormat="1" x14ac:dyDescent="0.25">
      <c r="A8600" s="10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  <c r="Q8600" s="11"/>
      <c r="R8600" s="11"/>
      <c r="S8600" s="11"/>
    </row>
    <row r="8601" spans="1:19" s="9" customFormat="1" x14ac:dyDescent="0.25">
      <c r="A8601" s="10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  <c r="Q8601" s="11"/>
      <c r="R8601" s="11"/>
      <c r="S8601" s="11"/>
    </row>
    <row r="8602" spans="1:19" s="9" customFormat="1" x14ac:dyDescent="0.25">
      <c r="A8602" s="10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  <c r="Q8602" s="11"/>
      <c r="R8602" s="11"/>
      <c r="S8602" s="11"/>
    </row>
    <row r="8603" spans="1:19" s="9" customFormat="1" x14ac:dyDescent="0.25">
      <c r="A8603" s="10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  <c r="Q8603" s="11"/>
      <c r="R8603" s="11"/>
      <c r="S8603" s="11"/>
    </row>
    <row r="8604" spans="1:19" s="9" customFormat="1" x14ac:dyDescent="0.25">
      <c r="A8604" s="10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  <c r="Q8604" s="11"/>
      <c r="R8604" s="11"/>
      <c r="S8604" s="11"/>
    </row>
    <row r="8605" spans="1:19" s="9" customFormat="1" x14ac:dyDescent="0.25">
      <c r="A8605" s="10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  <c r="Q8605" s="11"/>
      <c r="R8605" s="11"/>
      <c r="S8605" s="11"/>
    </row>
    <row r="8606" spans="1:19" s="9" customFormat="1" x14ac:dyDescent="0.25">
      <c r="A8606" s="10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  <c r="Q8606" s="11"/>
      <c r="R8606" s="11"/>
      <c r="S8606" s="11"/>
    </row>
    <row r="8607" spans="1:19" s="9" customFormat="1" x14ac:dyDescent="0.25">
      <c r="A8607" s="10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  <c r="Q8607" s="11"/>
      <c r="R8607" s="11"/>
      <c r="S8607" s="11"/>
    </row>
    <row r="8608" spans="1:19" s="9" customFormat="1" x14ac:dyDescent="0.25">
      <c r="A8608" s="10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  <c r="Q8608" s="11"/>
      <c r="R8608" s="11"/>
      <c r="S8608" s="11"/>
    </row>
    <row r="8609" spans="1:19" s="9" customFormat="1" x14ac:dyDescent="0.25">
      <c r="A8609" s="10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  <c r="Q8609" s="11"/>
      <c r="R8609" s="11"/>
      <c r="S8609" s="11"/>
    </row>
    <row r="8610" spans="1:19" s="9" customFormat="1" x14ac:dyDescent="0.25">
      <c r="A8610" s="10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  <c r="Q8610" s="11"/>
      <c r="R8610" s="11"/>
      <c r="S8610" s="11"/>
    </row>
    <row r="8611" spans="1:19" s="9" customFormat="1" x14ac:dyDescent="0.25">
      <c r="A8611" s="10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  <c r="Q8611" s="11"/>
      <c r="R8611" s="11"/>
      <c r="S8611" s="11"/>
    </row>
    <row r="8612" spans="1:19" s="9" customFormat="1" x14ac:dyDescent="0.25">
      <c r="A8612" s="10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  <c r="Q8612" s="11"/>
      <c r="R8612" s="11"/>
      <c r="S8612" s="11"/>
    </row>
    <row r="8613" spans="1:19" s="9" customFormat="1" x14ac:dyDescent="0.25">
      <c r="A8613" s="10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  <c r="Q8613" s="11"/>
      <c r="R8613" s="11"/>
      <c r="S8613" s="11"/>
    </row>
    <row r="8614" spans="1:19" s="9" customFormat="1" x14ac:dyDescent="0.25">
      <c r="A8614" s="10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  <c r="Q8614" s="11"/>
      <c r="R8614" s="11"/>
      <c r="S8614" s="11"/>
    </row>
    <row r="8615" spans="1:19" s="9" customFormat="1" x14ac:dyDescent="0.25">
      <c r="A8615" s="10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  <c r="Q8615" s="11"/>
      <c r="R8615" s="11"/>
      <c r="S8615" s="11"/>
    </row>
    <row r="8616" spans="1:19" s="9" customFormat="1" x14ac:dyDescent="0.25">
      <c r="A8616" s="10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  <c r="Q8616" s="11"/>
      <c r="R8616" s="11"/>
      <c r="S8616" s="11"/>
    </row>
    <row r="8617" spans="1:19" s="9" customFormat="1" x14ac:dyDescent="0.25">
      <c r="A8617" s="10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  <c r="Q8617" s="11"/>
      <c r="R8617" s="11"/>
      <c r="S8617" s="11"/>
    </row>
    <row r="8618" spans="1:19" s="9" customFormat="1" x14ac:dyDescent="0.25">
      <c r="A8618" s="10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  <c r="Q8618" s="11"/>
      <c r="R8618" s="11"/>
      <c r="S8618" s="11"/>
    </row>
    <row r="8619" spans="1:19" s="9" customFormat="1" x14ac:dyDescent="0.25">
      <c r="A8619" s="10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  <c r="Q8619" s="11"/>
      <c r="R8619" s="11"/>
      <c r="S8619" s="11"/>
    </row>
    <row r="8620" spans="1:19" s="9" customFormat="1" x14ac:dyDescent="0.25">
      <c r="A8620" s="10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  <c r="Q8620" s="11"/>
      <c r="R8620" s="11"/>
      <c r="S8620" s="11"/>
    </row>
    <row r="8621" spans="1:19" s="9" customFormat="1" x14ac:dyDescent="0.25">
      <c r="A8621" s="10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  <c r="Q8621" s="11"/>
      <c r="R8621" s="11"/>
      <c r="S8621" s="11"/>
    </row>
    <row r="8622" spans="1:19" s="9" customFormat="1" x14ac:dyDescent="0.25">
      <c r="A8622" s="10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  <c r="Q8622" s="11"/>
      <c r="R8622" s="11"/>
      <c r="S8622" s="11"/>
    </row>
    <row r="8623" spans="1:19" s="9" customFormat="1" x14ac:dyDescent="0.25">
      <c r="A8623" s="10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  <c r="Q8623" s="11"/>
      <c r="R8623" s="11"/>
      <c r="S8623" s="11"/>
    </row>
    <row r="8624" spans="1:19" s="9" customFormat="1" x14ac:dyDescent="0.25">
      <c r="A8624" s="10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  <c r="Q8624" s="11"/>
      <c r="R8624" s="11"/>
      <c r="S8624" s="11"/>
    </row>
    <row r="8625" spans="1:19" s="9" customFormat="1" x14ac:dyDescent="0.25">
      <c r="A8625" s="10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  <c r="Q8625" s="11"/>
      <c r="R8625" s="11"/>
      <c r="S8625" s="11"/>
    </row>
    <row r="8626" spans="1:19" s="9" customFormat="1" x14ac:dyDescent="0.25">
      <c r="A8626" s="10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  <c r="Q8626" s="11"/>
      <c r="R8626" s="11"/>
      <c r="S8626" s="11"/>
    </row>
    <row r="8627" spans="1:19" s="9" customFormat="1" x14ac:dyDescent="0.25">
      <c r="A8627" s="10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  <c r="Q8627" s="11"/>
      <c r="R8627" s="11"/>
      <c r="S8627" s="11"/>
    </row>
    <row r="8628" spans="1:19" s="9" customFormat="1" x14ac:dyDescent="0.25">
      <c r="A8628" s="10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  <c r="Q8628" s="11"/>
      <c r="R8628" s="11"/>
      <c r="S8628" s="11"/>
    </row>
    <row r="8629" spans="1:19" s="9" customFormat="1" x14ac:dyDescent="0.25">
      <c r="A8629" s="10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  <c r="Q8629" s="11"/>
      <c r="R8629" s="11"/>
      <c r="S8629" s="11"/>
    </row>
    <row r="8630" spans="1:19" s="9" customFormat="1" x14ac:dyDescent="0.25">
      <c r="A8630" s="10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  <c r="Q8630" s="11"/>
      <c r="R8630" s="11"/>
      <c r="S8630" s="11"/>
    </row>
    <row r="8631" spans="1:19" s="9" customFormat="1" x14ac:dyDescent="0.25">
      <c r="A8631" s="10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  <c r="Q8631" s="11"/>
      <c r="R8631" s="11"/>
      <c r="S8631" s="11"/>
    </row>
    <row r="8632" spans="1:19" s="9" customFormat="1" x14ac:dyDescent="0.25">
      <c r="A8632" s="10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  <c r="Q8632" s="11"/>
      <c r="R8632" s="11"/>
      <c r="S8632" s="11"/>
    </row>
    <row r="8633" spans="1:19" s="9" customFormat="1" x14ac:dyDescent="0.25">
      <c r="A8633" s="10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  <c r="Q8633" s="11"/>
      <c r="R8633" s="11"/>
      <c r="S8633" s="11"/>
    </row>
    <row r="8634" spans="1:19" s="9" customFormat="1" x14ac:dyDescent="0.25">
      <c r="A8634" s="10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  <c r="Q8634" s="11"/>
      <c r="R8634" s="11"/>
      <c r="S8634" s="11"/>
    </row>
    <row r="8635" spans="1:19" s="9" customFormat="1" x14ac:dyDescent="0.25">
      <c r="A8635" s="10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  <c r="Q8635" s="11"/>
      <c r="R8635" s="11"/>
      <c r="S8635" s="11"/>
    </row>
    <row r="8636" spans="1:19" s="9" customFormat="1" x14ac:dyDescent="0.25">
      <c r="A8636" s="10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  <c r="Q8636" s="11"/>
      <c r="R8636" s="11"/>
      <c r="S8636" s="11"/>
    </row>
    <row r="8637" spans="1:19" s="9" customFormat="1" x14ac:dyDescent="0.25">
      <c r="A8637" s="10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  <c r="Q8637" s="11"/>
      <c r="R8637" s="11"/>
      <c r="S8637" s="11"/>
    </row>
    <row r="8638" spans="1:19" s="9" customFormat="1" x14ac:dyDescent="0.25">
      <c r="A8638" s="10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  <c r="Q8638" s="11"/>
      <c r="R8638" s="11"/>
      <c r="S8638" s="11"/>
    </row>
    <row r="8639" spans="1:19" s="9" customFormat="1" x14ac:dyDescent="0.25">
      <c r="A8639" s="10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  <c r="Q8639" s="11"/>
      <c r="R8639" s="11"/>
      <c r="S8639" s="11"/>
    </row>
    <row r="8640" spans="1:19" s="9" customFormat="1" x14ac:dyDescent="0.25">
      <c r="A8640" s="10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  <c r="Q8640" s="11"/>
      <c r="R8640" s="11"/>
      <c r="S8640" s="11"/>
    </row>
    <row r="8641" spans="1:19" s="9" customFormat="1" x14ac:dyDescent="0.25">
      <c r="A8641" s="10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  <c r="Q8641" s="11"/>
      <c r="R8641" s="11"/>
      <c r="S8641" s="11"/>
    </row>
    <row r="8642" spans="1:19" s="9" customFormat="1" x14ac:dyDescent="0.25">
      <c r="A8642" s="10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  <c r="Q8642" s="11"/>
      <c r="R8642" s="11"/>
      <c r="S8642" s="11"/>
    </row>
    <row r="8643" spans="1:19" s="9" customFormat="1" x14ac:dyDescent="0.25">
      <c r="A8643" s="10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  <c r="Q8643" s="11"/>
      <c r="R8643" s="11"/>
      <c r="S8643" s="11"/>
    </row>
    <row r="8644" spans="1:19" s="9" customFormat="1" x14ac:dyDescent="0.25">
      <c r="A8644" s="10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  <c r="Q8644" s="11"/>
      <c r="R8644" s="11"/>
      <c r="S8644" s="11"/>
    </row>
    <row r="8645" spans="1:19" s="9" customFormat="1" x14ac:dyDescent="0.25">
      <c r="A8645" s="10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  <c r="Q8645" s="11"/>
      <c r="R8645" s="11"/>
      <c r="S8645" s="11"/>
    </row>
    <row r="8646" spans="1:19" s="9" customFormat="1" x14ac:dyDescent="0.25">
      <c r="A8646" s="10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  <c r="Q8646" s="11"/>
      <c r="R8646" s="11"/>
      <c r="S8646" s="11"/>
    </row>
    <row r="8647" spans="1:19" s="9" customFormat="1" x14ac:dyDescent="0.25">
      <c r="A8647" s="10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  <c r="Q8647" s="11"/>
      <c r="R8647" s="11"/>
      <c r="S8647" s="11"/>
    </row>
    <row r="8648" spans="1:19" s="9" customFormat="1" x14ac:dyDescent="0.25">
      <c r="A8648" s="10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  <c r="Q8648" s="11"/>
      <c r="R8648" s="11"/>
      <c r="S8648" s="11"/>
    </row>
    <row r="8649" spans="1:19" s="9" customFormat="1" x14ac:dyDescent="0.25">
      <c r="A8649" s="10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  <c r="Q8649" s="11"/>
      <c r="R8649" s="11"/>
      <c r="S8649" s="11"/>
    </row>
    <row r="8650" spans="1:19" s="9" customFormat="1" x14ac:dyDescent="0.25">
      <c r="A8650" s="10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  <c r="Q8650" s="11"/>
      <c r="R8650" s="11"/>
      <c r="S8650" s="11"/>
    </row>
    <row r="8651" spans="1:19" s="9" customFormat="1" x14ac:dyDescent="0.25">
      <c r="A8651" s="10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  <c r="Q8651" s="11"/>
      <c r="R8651" s="11"/>
      <c r="S8651" s="11"/>
    </row>
    <row r="8652" spans="1:19" s="9" customFormat="1" x14ac:dyDescent="0.25">
      <c r="A8652" s="10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  <c r="Q8652" s="11"/>
      <c r="R8652" s="11"/>
      <c r="S8652" s="11"/>
    </row>
    <row r="8653" spans="1:19" s="9" customFormat="1" x14ac:dyDescent="0.25">
      <c r="A8653" s="10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  <c r="Q8653" s="11"/>
      <c r="R8653" s="11"/>
      <c r="S8653" s="11"/>
    </row>
    <row r="8654" spans="1:19" s="9" customFormat="1" x14ac:dyDescent="0.25">
      <c r="A8654" s="10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  <c r="Q8654" s="11"/>
      <c r="R8654" s="11"/>
      <c r="S8654" s="11"/>
    </row>
    <row r="8655" spans="1:19" s="9" customFormat="1" x14ac:dyDescent="0.25">
      <c r="A8655" s="10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  <c r="Q8655" s="11"/>
      <c r="R8655" s="11"/>
      <c r="S8655" s="11"/>
    </row>
    <row r="8656" spans="1:19" s="9" customFormat="1" x14ac:dyDescent="0.25">
      <c r="A8656" s="10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  <c r="Q8656" s="11"/>
      <c r="R8656" s="11"/>
      <c r="S8656" s="11"/>
    </row>
    <row r="8657" spans="1:19" s="9" customFormat="1" x14ac:dyDescent="0.25">
      <c r="A8657" s="10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  <c r="Q8657" s="11"/>
      <c r="R8657" s="11"/>
      <c r="S8657" s="11"/>
    </row>
    <row r="8658" spans="1:19" s="9" customFormat="1" x14ac:dyDescent="0.25">
      <c r="A8658" s="10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  <c r="Q8658" s="11"/>
      <c r="R8658" s="11"/>
      <c r="S8658" s="11"/>
    </row>
    <row r="8659" spans="1:19" s="9" customFormat="1" x14ac:dyDescent="0.25">
      <c r="A8659" s="10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  <c r="Q8659" s="11"/>
      <c r="R8659" s="11"/>
      <c r="S8659" s="11"/>
    </row>
    <row r="8660" spans="1:19" s="9" customFormat="1" x14ac:dyDescent="0.25">
      <c r="A8660" s="10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  <c r="Q8660" s="11"/>
      <c r="R8660" s="11"/>
      <c r="S8660" s="11"/>
    </row>
    <row r="8661" spans="1:19" s="9" customFormat="1" x14ac:dyDescent="0.25">
      <c r="A8661" s="10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  <c r="Q8661" s="11"/>
      <c r="R8661" s="11"/>
      <c r="S8661" s="11"/>
    </row>
    <row r="8662" spans="1:19" s="9" customFormat="1" x14ac:dyDescent="0.25">
      <c r="A8662" s="10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  <c r="Q8662" s="11"/>
      <c r="R8662" s="11"/>
      <c r="S8662" s="11"/>
    </row>
    <row r="8663" spans="1:19" s="9" customFormat="1" x14ac:dyDescent="0.25">
      <c r="A8663" s="10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  <c r="Q8663" s="11"/>
      <c r="R8663" s="11"/>
      <c r="S8663" s="11"/>
    </row>
    <row r="8664" spans="1:19" s="9" customFormat="1" x14ac:dyDescent="0.25">
      <c r="A8664" s="10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  <c r="Q8664" s="11"/>
      <c r="R8664" s="11"/>
      <c r="S8664" s="11"/>
    </row>
    <row r="8665" spans="1:19" s="9" customFormat="1" x14ac:dyDescent="0.25">
      <c r="A8665" s="10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  <c r="Q8665" s="11"/>
      <c r="R8665" s="11"/>
      <c r="S8665" s="11"/>
    </row>
    <row r="8666" spans="1:19" s="9" customFormat="1" x14ac:dyDescent="0.25">
      <c r="A8666" s="10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  <c r="Q8666" s="11"/>
      <c r="R8666" s="11"/>
      <c r="S8666" s="11"/>
    </row>
    <row r="8667" spans="1:19" s="9" customFormat="1" x14ac:dyDescent="0.25">
      <c r="A8667" s="10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  <c r="Q8667" s="11"/>
      <c r="R8667" s="11"/>
      <c r="S8667" s="11"/>
    </row>
    <row r="8668" spans="1:19" s="9" customFormat="1" x14ac:dyDescent="0.25">
      <c r="A8668" s="10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  <c r="Q8668" s="11"/>
      <c r="R8668" s="11"/>
      <c r="S8668" s="11"/>
    </row>
    <row r="8669" spans="1:19" s="9" customFormat="1" x14ac:dyDescent="0.25">
      <c r="A8669" s="10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  <c r="Q8669" s="11"/>
      <c r="R8669" s="11"/>
      <c r="S8669" s="11"/>
    </row>
    <row r="8670" spans="1:19" s="9" customFormat="1" x14ac:dyDescent="0.25">
      <c r="A8670" s="10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  <c r="Q8670" s="11"/>
      <c r="R8670" s="11"/>
      <c r="S8670" s="11"/>
    </row>
    <row r="8671" spans="1:19" s="9" customFormat="1" x14ac:dyDescent="0.25">
      <c r="A8671" s="10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  <c r="Q8671" s="11"/>
      <c r="R8671" s="11"/>
      <c r="S8671" s="11"/>
    </row>
    <row r="8672" spans="1:19" s="9" customFormat="1" x14ac:dyDescent="0.25">
      <c r="A8672" s="10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  <c r="Q8672" s="11"/>
      <c r="R8672" s="11"/>
      <c r="S8672" s="11"/>
    </row>
    <row r="8673" spans="1:19" s="9" customFormat="1" x14ac:dyDescent="0.25">
      <c r="A8673" s="10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  <c r="Q8673" s="11"/>
      <c r="R8673" s="11"/>
      <c r="S8673" s="11"/>
    </row>
    <row r="8674" spans="1:19" s="9" customFormat="1" x14ac:dyDescent="0.25">
      <c r="A8674" s="10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  <c r="Q8674" s="11"/>
      <c r="R8674" s="11"/>
      <c r="S8674" s="11"/>
    </row>
    <row r="8675" spans="1:19" s="9" customFormat="1" x14ac:dyDescent="0.25">
      <c r="A8675" s="10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  <c r="Q8675" s="11"/>
      <c r="R8675" s="11"/>
      <c r="S8675" s="11"/>
    </row>
    <row r="8676" spans="1:19" s="9" customFormat="1" x14ac:dyDescent="0.25">
      <c r="A8676" s="10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  <c r="Q8676" s="11"/>
      <c r="R8676" s="11"/>
      <c r="S8676" s="11"/>
    </row>
    <row r="8677" spans="1:19" s="9" customFormat="1" x14ac:dyDescent="0.25">
      <c r="A8677" s="10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  <c r="Q8677" s="11"/>
      <c r="R8677" s="11"/>
      <c r="S8677" s="11"/>
    </row>
    <row r="8678" spans="1:19" s="9" customFormat="1" x14ac:dyDescent="0.25">
      <c r="A8678" s="10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  <c r="Q8678" s="11"/>
      <c r="R8678" s="11"/>
      <c r="S8678" s="11"/>
    </row>
    <row r="8679" spans="1:19" s="9" customFormat="1" x14ac:dyDescent="0.25">
      <c r="A8679" s="10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  <c r="Q8679" s="11"/>
      <c r="R8679" s="11"/>
      <c r="S8679" s="11"/>
    </row>
    <row r="8680" spans="1:19" s="9" customFormat="1" x14ac:dyDescent="0.25">
      <c r="A8680" s="10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  <c r="Q8680" s="11"/>
      <c r="R8680" s="11"/>
      <c r="S8680" s="11"/>
    </row>
    <row r="8681" spans="1:19" s="9" customFormat="1" x14ac:dyDescent="0.25">
      <c r="A8681" s="10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  <c r="Q8681" s="11"/>
      <c r="R8681" s="11"/>
      <c r="S8681" s="11"/>
    </row>
    <row r="8682" spans="1:19" s="9" customFormat="1" x14ac:dyDescent="0.25">
      <c r="A8682" s="10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  <c r="Q8682" s="11"/>
      <c r="R8682" s="11"/>
      <c r="S8682" s="11"/>
    </row>
    <row r="8683" spans="1:19" s="9" customFormat="1" x14ac:dyDescent="0.25">
      <c r="A8683" s="10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  <c r="Q8683" s="11"/>
      <c r="R8683" s="11"/>
      <c r="S8683" s="11"/>
    </row>
    <row r="8684" spans="1:19" s="9" customFormat="1" x14ac:dyDescent="0.25">
      <c r="A8684" s="10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  <c r="Q8684" s="11"/>
      <c r="R8684" s="11"/>
      <c r="S8684" s="11"/>
    </row>
    <row r="8685" spans="1:19" s="9" customFormat="1" x14ac:dyDescent="0.25">
      <c r="A8685" s="10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  <c r="Q8685" s="11"/>
      <c r="R8685" s="11"/>
      <c r="S8685" s="11"/>
    </row>
    <row r="8686" spans="1:19" s="9" customFormat="1" x14ac:dyDescent="0.25">
      <c r="A8686" s="10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  <c r="Q8686" s="11"/>
      <c r="R8686" s="11"/>
      <c r="S8686" s="11"/>
    </row>
    <row r="8687" spans="1:19" s="9" customFormat="1" x14ac:dyDescent="0.25">
      <c r="A8687" s="10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  <c r="Q8687" s="11"/>
      <c r="R8687" s="11"/>
      <c r="S8687" s="11"/>
    </row>
    <row r="8688" spans="1:19" s="9" customFormat="1" x14ac:dyDescent="0.25">
      <c r="A8688" s="10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  <c r="Q8688" s="11"/>
      <c r="R8688" s="11"/>
      <c r="S8688" s="11"/>
    </row>
    <row r="8689" spans="1:19" s="9" customFormat="1" x14ac:dyDescent="0.25">
      <c r="A8689" s="10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  <c r="Q8689" s="11"/>
      <c r="R8689" s="11"/>
      <c r="S8689" s="11"/>
    </row>
    <row r="8690" spans="1:19" s="9" customFormat="1" x14ac:dyDescent="0.25">
      <c r="A8690" s="10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  <c r="Q8690" s="11"/>
      <c r="R8690" s="11"/>
      <c r="S8690" s="11"/>
    </row>
    <row r="8691" spans="1:19" s="9" customFormat="1" x14ac:dyDescent="0.25">
      <c r="A8691" s="10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  <c r="Q8691" s="11"/>
      <c r="R8691" s="11"/>
      <c r="S8691" s="11"/>
    </row>
    <row r="8692" spans="1:19" s="9" customFormat="1" x14ac:dyDescent="0.25">
      <c r="A8692" s="10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  <c r="Q8692" s="11"/>
      <c r="R8692" s="11"/>
      <c r="S8692" s="11"/>
    </row>
    <row r="8693" spans="1:19" s="9" customFormat="1" x14ac:dyDescent="0.25">
      <c r="A8693" s="10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  <c r="Q8693" s="11"/>
      <c r="R8693" s="11"/>
      <c r="S8693" s="11"/>
    </row>
    <row r="8694" spans="1:19" s="9" customFormat="1" x14ac:dyDescent="0.25">
      <c r="A8694" s="10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  <c r="Q8694" s="11"/>
      <c r="R8694" s="11"/>
      <c r="S8694" s="11"/>
    </row>
    <row r="8695" spans="1:19" s="9" customFormat="1" x14ac:dyDescent="0.25">
      <c r="A8695" s="10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  <c r="Q8695" s="11"/>
      <c r="R8695" s="11"/>
      <c r="S8695" s="11"/>
    </row>
    <row r="8696" spans="1:19" s="9" customFormat="1" x14ac:dyDescent="0.25">
      <c r="A8696" s="10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  <c r="Q8696" s="11"/>
      <c r="R8696" s="11"/>
      <c r="S8696" s="11"/>
    </row>
    <row r="8697" spans="1:19" s="9" customFormat="1" x14ac:dyDescent="0.25">
      <c r="A8697" s="10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  <c r="Q8697" s="11"/>
      <c r="R8697" s="11"/>
      <c r="S8697" s="11"/>
    </row>
    <row r="8698" spans="1:19" s="9" customFormat="1" x14ac:dyDescent="0.25">
      <c r="A8698" s="10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  <c r="Q8698" s="11"/>
      <c r="R8698" s="11"/>
      <c r="S8698" s="11"/>
    </row>
    <row r="8699" spans="1:19" s="9" customFormat="1" x14ac:dyDescent="0.25">
      <c r="A8699" s="10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  <c r="Q8699" s="11"/>
      <c r="R8699" s="11"/>
      <c r="S8699" s="11"/>
    </row>
    <row r="8700" spans="1:19" s="9" customFormat="1" x14ac:dyDescent="0.25">
      <c r="A8700" s="10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  <c r="Q8700" s="11"/>
      <c r="R8700" s="11"/>
      <c r="S8700" s="11"/>
    </row>
    <row r="8701" spans="1:19" s="9" customFormat="1" x14ac:dyDescent="0.25">
      <c r="A8701" s="10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  <c r="Q8701" s="11"/>
      <c r="R8701" s="11"/>
      <c r="S8701" s="11"/>
    </row>
    <row r="8702" spans="1:19" s="9" customFormat="1" x14ac:dyDescent="0.25">
      <c r="A8702" s="10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  <c r="Q8702" s="11"/>
      <c r="R8702" s="11"/>
      <c r="S8702" s="11"/>
    </row>
    <row r="8703" spans="1:19" s="9" customFormat="1" x14ac:dyDescent="0.25">
      <c r="A8703" s="10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  <c r="Q8703" s="11"/>
      <c r="R8703" s="11"/>
      <c r="S8703" s="11"/>
    </row>
    <row r="8704" spans="1:19" s="9" customFormat="1" x14ac:dyDescent="0.25">
      <c r="A8704" s="10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  <c r="Q8704" s="11"/>
      <c r="R8704" s="11"/>
      <c r="S8704" s="11"/>
    </row>
    <row r="8705" spans="1:19" s="9" customFormat="1" x14ac:dyDescent="0.25">
      <c r="A8705" s="10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  <c r="Q8705" s="11"/>
      <c r="R8705" s="11"/>
      <c r="S8705" s="11"/>
    </row>
    <row r="8706" spans="1:19" s="9" customFormat="1" x14ac:dyDescent="0.25">
      <c r="A8706" s="10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  <c r="Q8706" s="11"/>
      <c r="R8706" s="11"/>
      <c r="S8706" s="11"/>
    </row>
    <row r="8707" spans="1:19" s="9" customFormat="1" x14ac:dyDescent="0.25">
      <c r="A8707" s="10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  <c r="Q8707" s="11"/>
      <c r="R8707" s="11"/>
      <c r="S8707" s="11"/>
    </row>
    <row r="8708" spans="1:19" s="9" customFormat="1" x14ac:dyDescent="0.25">
      <c r="A8708" s="10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  <c r="Q8708" s="11"/>
      <c r="R8708" s="11"/>
      <c r="S8708" s="11"/>
    </row>
    <row r="8709" spans="1:19" s="9" customFormat="1" x14ac:dyDescent="0.25">
      <c r="A8709" s="10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  <c r="Q8709" s="11"/>
      <c r="R8709" s="11"/>
      <c r="S8709" s="11"/>
    </row>
    <row r="8710" spans="1:19" s="9" customFormat="1" x14ac:dyDescent="0.25">
      <c r="A8710" s="10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  <c r="Q8710" s="11"/>
      <c r="R8710" s="11"/>
      <c r="S8710" s="11"/>
    </row>
    <row r="8711" spans="1:19" s="9" customFormat="1" x14ac:dyDescent="0.25">
      <c r="A8711" s="10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  <c r="Q8711" s="11"/>
      <c r="R8711" s="11"/>
      <c r="S8711" s="11"/>
    </row>
    <row r="8712" spans="1:19" s="9" customFormat="1" x14ac:dyDescent="0.25">
      <c r="A8712" s="10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  <c r="Q8712" s="11"/>
      <c r="R8712" s="11"/>
      <c r="S8712" s="11"/>
    </row>
    <row r="8713" spans="1:19" s="9" customFormat="1" x14ac:dyDescent="0.25">
      <c r="A8713" s="10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  <c r="Q8713" s="11"/>
      <c r="R8713" s="11"/>
      <c r="S8713" s="11"/>
    </row>
    <row r="8714" spans="1:19" s="9" customFormat="1" x14ac:dyDescent="0.25">
      <c r="A8714" s="10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  <c r="Q8714" s="11"/>
      <c r="R8714" s="11"/>
      <c r="S8714" s="11"/>
    </row>
    <row r="8715" spans="1:19" s="9" customFormat="1" x14ac:dyDescent="0.25">
      <c r="A8715" s="10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  <c r="Q8715" s="11"/>
      <c r="R8715" s="11"/>
      <c r="S8715" s="11"/>
    </row>
    <row r="8716" spans="1:19" s="9" customFormat="1" x14ac:dyDescent="0.25">
      <c r="A8716" s="10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  <c r="Q8716" s="11"/>
      <c r="R8716" s="11"/>
      <c r="S8716" s="11"/>
    </row>
    <row r="8717" spans="1:19" s="9" customFormat="1" x14ac:dyDescent="0.25">
      <c r="A8717" s="10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  <c r="Q8717" s="11"/>
      <c r="R8717" s="11"/>
      <c r="S8717" s="11"/>
    </row>
    <row r="8718" spans="1:19" s="9" customFormat="1" x14ac:dyDescent="0.25">
      <c r="A8718" s="10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  <c r="Q8718" s="11"/>
      <c r="R8718" s="11"/>
      <c r="S8718" s="11"/>
    </row>
    <row r="8719" spans="1:19" s="9" customFormat="1" x14ac:dyDescent="0.25">
      <c r="A8719" s="10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  <c r="Q8719" s="11"/>
      <c r="R8719" s="11"/>
      <c r="S8719" s="11"/>
    </row>
    <row r="8720" spans="1:19" s="9" customFormat="1" x14ac:dyDescent="0.25">
      <c r="A8720" s="10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  <c r="Q8720" s="11"/>
      <c r="R8720" s="11"/>
      <c r="S8720" s="11"/>
    </row>
    <row r="8721" spans="1:19" s="9" customFormat="1" x14ac:dyDescent="0.25">
      <c r="A8721" s="10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  <c r="Q8721" s="11"/>
      <c r="R8721" s="11"/>
      <c r="S8721" s="11"/>
    </row>
    <row r="8722" spans="1:19" s="9" customFormat="1" x14ac:dyDescent="0.25">
      <c r="A8722" s="10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  <c r="Q8722" s="11"/>
      <c r="R8722" s="11"/>
      <c r="S8722" s="11"/>
    </row>
    <row r="8723" spans="1:19" s="9" customFormat="1" x14ac:dyDescent="0.25">
      <c r="A8723" s="10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  <c r="Q8723" s="11"/>
      <c r="R8723" s="11"/>
      <c r="S8723" s="11"/>
    </row>
    <row r="8724" spans="1:19" s="9" customFormat="1" x14ac:dyDescent="0.25">
      <c r="A8724" s="10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  <c r="Q8724" s="11"/>
      <c r="R8724" s="11"/>
      <c r="S8724" s="11"/>
    </row>
    <row r="8725" spans="1:19" s="9" customFormat="1" x14ac:dyDescent="0.25">
      <c r="A8725" s="10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  <c r="Q8725" s="11"/>
      <c r="R8725" s="11"/>
      <c r="S8725" s="11"/>
    </row>
    <row r="8726" spans="1:19" s="9" customFormat="1" x14ac:dyDescent="0.25">
      <c r="A8726" s="10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  <c r="Q8726" s="11"/>
      <c r="R8726" s="11"/>
      <c r="S8726" s="11"/>
    </row>
    <row r="8727" spans="1:19" s="9" customFormat="1" x14ac:dyDescent="0.25">
      <c r="A8727" s="10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  <c r="Q8727" s="11"/>
      <c r="R8727" s="11"/>
      <c r="S8727" s="11"/>
    </row>
    <row r="8728" spans="1:19" s="9" customFormat="1" x14ac:dyDescent="0.25">
      <c r="A8728" s="10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  <c r="Q8728" s="11"/>
      <c r="R8728" s="11"/>
      <c r="S8728" s="11"/>
    </row>
    <row r="8729" spans="1:19" s="9" customFormat="1" x14ac:dyDescent="0.25">
      <c r="A8729" s="10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  <c r="Q8729" s="11"/>
      <c r="R8729" s="11"/>
      <c r="S8729" s="11"/>
    </row>
    <row r="8730" spans="1:19" s="9" customFormat="1" x14ac:dyDescent="0.25">
      <c r="A8730" s="10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  <c r="Q8730" s="11"/>
      <c r="R8730" s="11"/>
      <c r="S8730" s="11"/>
    </row>
    <row r="8731" spans="1:19" s="9" customFormat="1" x14ac:dyDescent="0.25">
      <c r="A8731" s="10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  <c r="Q8731" s="11"/>
      <c r="R8731" s="11"/>
      <c r="S8731" s="11"/>
    </row>
    <row r="8732" spans="1:19" s="9" customFormat="1" x14ac:dyDescent="0.25">
      <c r="A8732" s="10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  <c r="Q8732" s="11"/>
      <c r="R8732" s="11"/>
      <c r="S8732" s="11"/>
    </row>
    <row r="8733" spans="1:19" s="9" customFormat="1" x14ac:dyDescent="0.25">
      <c r="A8733" s="10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  <c r="Q8733" s="11"/>
      <c r="R8733" s="11"/>
      <c r="S8733" s="11"/>
    </row>
    <row r="8734" spans="1:19" s="9" customFormat="1" x14ac:dyDescent="0.25">
      <c r="A8734" s="10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  <c r="Q8734" s="11"/>
      <c r="R8734" s="11"/>
      <c r="S8734" s="11"/>
    </row>
    <row r="8735" spans="1:19" s="9" customFormat="1" x14ac:dyDescent="0.25">
      <c r="A8735" s="10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  <c r="Q8735" s="11"/>
      <c r="R8735" s="11"/>
      <c r="S8735" s="11"/>
    </row>
    <row r="8736" spans="1:19" s="9" customFormat="1" x14ac:dyDescent="0.25">
      <c r="A8736" s="10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  <c r="Q8736" s="11"/>
      <c r="R8736" s="11"/>
      <c r="S8736" s="11"/>
    </row>
    <row r="8737" spans="1:19" s="9" customFormat="1" x14ac:dyDescent="0.25">
      <c r="A8737" s="10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  <c r="Q8737" s="11"/>
      <c r="R8737" s="11"/>
      <c r="S8737" s="11"/>
    </row>
    <row r="8738" spans="1:19" s="9" customFormat="1" x14ac:dyDescent="0.25">
      <c r="A8738" s="10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  <c r="Q8738" s="11"/>
      <c r="R8738" s="11"/>
      <c r="S8738" s="11"/>
    </row>
    <row r="8739" spans="1:19" s="9" customFormat="1" x14ac:dyDescent="0.25">
      <c r="A8739" s="10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  <c r="Q8739" s="11"/>
      <c r="R8739" s="11"/>
      <c r="S8739" s="11"/>
    </row>
    <row r="8740" spans="1:19" s="9" customFormat="1" x14ac:dyDescent="0.25">
      <c r="A8740" s="10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  <c r="Q8740" s="11"/>
      <c r="R8740" s="11"/>
      <c r="S8740" s="11"/>
    </row>
    <row r="8741" spans="1:19" s="9" customFormat="1" x14ac:dyDescent="0.25">
      <c r="A8741" s="10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  <c r="Q8741" s="11"/>
      <c r="R8741" s="11"/>
      <c r="S8741" s="11"/>
    </row>
    <row r="8742" spans="1:19" s="9" customFormat="1" x14ac:dyDescent="0.25">
      <c r="A8742" s="10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  <c r="Q8742" s="11"/>
      <c r="R8742" s="11"/>
      <c r="S8742" s="11"/>
    </row>
    <row r="8743" spans="1:19" s="9" customFormat="1" x14ac:dyDescent="0.25">
      <c r="A8743" s="10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  <c r="Q8743" s="11"/>
      <c r="R8743" s="11"/>
      <c r="S8743" s="11"/>
    </row>
    <row r="8744" spans="1:19" s="9" customFormat="1" x14ac:dyDescent="0.25">
      <c r="A8744" s="10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  <c r="Q8744" s="11"/>
      <c r="R8744" s="11"/>
      <c r="S8744" s="11"/>
    </row>
    <row r="8745" spans="1:19" s="9" customFormat="1" x14ac:dyDescent="0.25">
      <c r="A8745" s="10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  <c r="Q8745" s="11"/>
      <c r="R8745" s="11"/>
      <c r="S8745" s="11"/>
    </row>
    <row r="8746" spans="1:19" s="9" customFormat="1" x14ac:dyDescent="0.25">
      <c r="A8746" s="10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  <c r="Q8746" s="11"/>
      <c r="R8746" s="11"/>
      <c r="S8746" s="11"/>
    </row>
    <row r="8747" spans="1:19" s="9" customFormat="1" x14ac:dyDescent="0.25">
      <c r="A8747" s="10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  <c r="Q8747" s="11"/>
      <c r="R8747" s="11"/>
      <c r="S8747" s="11"/>
    </row>
    <row r="8748" spans="1:19" s="9" customFormat="1" x14ac:dyDescent="0.25">
      <c r="A8748" s="10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  <c r="Q8748" s="11"/>
      <c r="R8748" s="11"/>
      <c r="S8748" s="11"/>
    </row>
    <row r="8749" spans="1:19" s="9" customFormat="1" x14ac:dyDescent="0.25">
      <c r="A8749" s="10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  <c r="Q8749" s="11"/>
      <c r="R8749" s="11"/>
      <c r="S8749" s="11"/>
    </row>
    <row r="8750" spans="1:19" s="9" customFormat="1" x14ac:dyDescent="0.25">
      <c r="A8750" s="10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  <c r="Q8750" s="11"/>
      <c r="R8750" s="11"/>
      <c r="S8750" s="11"/>
    </row>
    <row r="8751" spans="1:19" s="9" customFormat="1" x14ac:dyDescent="0.25">
      <c r="A8751" s="10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  <c r="Q8751" s="11"/>
      <c r="R8751" s="11"/>
      <c r="S8751" s="11"/>
    </row>
    <row r="8752" spans="1:19" s="9" customFormat="1" x14ac:dyDescent="0.25">
      <c r="A8752" s="10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  <c r="Q8752" s="11"/>
      <c r="R8752" s="11"/>
      <c r="S8752" s="11"/>
    </row>
    <row r="8753" spans="1:19" s="9" customFormat="1" x14ac:dyDescent="0.25">
      <c r="A8753" s="10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  <c r="Q8753" s="11"/>
      <c r="R8753" s="11"/>
      <c r="S8753" s="11"/>
    </row>
    <row r="8754" spans="1:19" s="9" customFormat="1" x14ac:dyDescent="0.25">
      <c r="A8754" s="10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  <c r="Q8754" s="11"/>
      <c r="R8754" s="11"/>
      <c r="S8754" s="11"/>
    </row>
    <row r="8755" spans="1:19" s="9" customFormat="1" x14ac:dyDescent="0.25">
      <c r="A8755" s="10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  <c r="Q8755" s="11"/>
      <c r="R8755" s="11"/>
      <c r="S8755" s="11"/>
    </row>
    <row r="8756" spans="1:19" s="9" customFormat="1" x14ac:dyDescent="0.25">
      <c r="A8756" s="10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  <c r="Q8756" s="11"/>
      <c r="R8756" s="11"/>
      <c r="S8756" s="11"/>
    </row>
    <row r="8757" spans="1:19" s="9" customFormat="1" x14ac:dyDescent="0.25">
      <c r="A8757" s="10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  <c r="Q8757" s="11"/>
      <c r="R8757" s="11"/>
      <c r="S8757" s="11"/>
    </row>
    <row r="8758" spans="1:19" s="9" customFormat="1" x14ac:dyDescent="0.25">
      <c r="A8758" s="10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  <c r="Q8758" s="11"/>
      <c r="R8758" s="11"/>
      <c r="S8758" s="11"/>
    </row>
    <row r="8759" spans="1:19" s="9" customFormat="1" x14ac:dyDescent="0.25">
      <c r="A8759" s="10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  <c r="Q8759" s="11"/>
      <c r="R8759" s="11"/>
      <c r="S8759" s="11"/>
    </row>
    <row r="8760" spans="1:19" s="9" customFormat="1" x14ac:dyDescent="0.25">
      <c r="A8760" s="10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  <c r="Q8760" s="11"/>
      <c r="R8760" s="11"/>
      <c r="S8760" s="11"/>
    </row>
    <row r="8761" spans="1:19" s="9" customFormat="1" x14ac:dyDescent="0.25">
      <c r="A8761" s="10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  <c r="Q8761" s="11"/>
      <c r="R8761" s="11"/>
      <c r="S8761" s="11"/>
    </row>
    <row r="8762" spans="1:19" s="9" customFormat="1" x14ac:dyDescent="0.25">
      <c r="A8762" s="10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  <c r="Q8762" s="11"/>
      <c r="R8762" s="11"/>
      <c r="S8762" s="11"/>
    </row>
    <row r="8763" spans="1:19" s="9" customFormat="1" x14ac:dyDescent="0.25">
      <c r="A8763" s="10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  <c r="Q8763" s="11"/>
      <c r="R8763" s="11"/>
      <c r="S8763" s="11"/>
    </row>
    <row r="8764" spans="1:19" s="9" customFormat="1" x14ac:dyDescent="0.25">
      <c r="A8764" s="10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  <c r="Q8764" s="11"/>
      <c r="R8764" s="11"/>
      <c r="S8764" s="11"/>
    </row>
    <row r="8765" spans="1:19" s="9" customFormat="1" x14ac:dyDescent="0.25">
      <c r="A8765" s="10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  <c r="Q8765" s="11"/>
      <c r="R8765" s="11"/>
      <c r="S8765" s="11"/>
    </row>
    <row r="8766" spans="1:19" s="9" customFormat="1" x14ac:dyDescent="0.25">
      <c r="A8766" s="10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  <c r="Q8766" s="11"/>
      <c r="R8766" s="11"/>
      <c r="S8766" s="11"/>
    </row>
    <row r="8767" spans="1:19" s="9" customFormat="1" x14ac:dyDescent="0.25">
      <c r="A8767" s="10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  <c r="Q8767" s="11"/>
      <c r="R8767" s="11"/>
      <c r="S8767" s="11"/>
    </row>
    <row r="8768" spans="1:19" s="9" customFormat="1" x14ac:dyDescent="0.25">
      <c r="A8768" s="10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  <c r="Q8768" s="11"/>
      <c r="R8768" s="11"/>
      <c r="S8768" s="11"/>
    </row>
    <row r="8769" spans="1:19" s="9" customFormat="1" x14ac:dyDescent="0.25">
      <c r="A8769" s="10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  <c r="Q8769" s="11"/>
      <c r="R8769" s="11"/>
      <c r="S8769" s="11"/>
    </row>
    <row r="8770" spans="1:19" s="9" customFormat="1" x14ac:dyDescent="0.25">
      <c r="A8770" s="10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  <c r="Q8770" s="11"/>
      <c r="R8770" s="11"/>
      <c r="S8770" s="11"/>
    </row>
    <row r="8771" spans="1:19" s="9" customFormat="1" x14ac:dyDescent="0.25">
      <c r="A8771" s="10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  <c r="Q8771" s="11"/>
      <c r="R8771" s="11"/>
      <c r="S8771" s="11"/>
    </row>
    <row r="8772" spans="1:19" s="9" customFormat="1" x14ac:dyDescent="0.25">
      <c r="A8772" s="10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  <c r="Q8772" s="11"/>
      <c r="R8772" s="11"/>
      <c r="S8772" s="11"/>
    </row>
    <row r="8773" spans="1:19" s="9" customFormat="1" x14ac:dyDescent="0.25">
      <c r="A8773" s="10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  <c r="Q8773" s="11"/>
      <c r="R8773" s="11"/>
      <c r="S8773" s="11"/>
    </row>
    <row r="8774" spans="1:19" s="9" customFormat="1" x14ac:dyDescent="0.25">
      <c r="A8774" s="10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  <c r="Q8774" s="11"/>
      <c r="R8774" s="11"/>
      <c r="S8774" s="11"/>
    </row>
    <row r="8775" spans="1:19" s="9" customFormat="1" x14ac:dyDescent="0.25">
      <c r="A8775" s="10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  <c r="Q8775" s="11"/>
      <c r="R8775" s="11"/>
      <c r="S8775" s="11"/>
    </row>
    <row r="8776" spans="1:19" s="9" customFormat="1" x14ac:dyDescent="0.25">
      <c r="A8776" s="10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  <c r="Q8776" s="11"/>
      <c r="R8776" s="11"/>
      <c r="S8776" s="11"/>
    </row>
    <row r="8777" spans="1:19" s="9" customFormat="1" x14ac:dyDescent="0.25">
      <c r="A8777" s="10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  <c r="Q8777" s="11"/>
      <c r="R8777" s="11"/>
      <c r="S8777" s="11"/>
    </row>
    <row r="8778" spans="1:19" s="9" customFormat="1" x14ac:dyDescent="0.25">
      <c r="A8778" s="10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  <c r="Q8778" s="11"/>
      <c r="R8778" s="11"/>
      <c r="S8778" s="11"/>
    </row>
    <row r="8779" spans="1:19" s="9" customFormat="1" x14ac:dyDescent="0.25">
      <c r="A8779" s="10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  <c r="Q8779" s="11"/>
      <c r="R8779" s="11"/>
      <c r="S8779" s="11"/>
    </row>
    <row r="8780" spans="1:19" s="9" customFormat="1" x14ac:dyDescent="0.25">
      <c r="A8780" s="10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  <c r="Q8780" s="11"/>
      <c r="R8780" s="11"/>
      <c r="S8780" s="11"/>
    </row>
    <row r="8781" spans="1:19" s="9" customFormat="1" x14ac:dyDescent="0.25">
      <c r="A8781" s="10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  <c r="Q8781" s="11"/>
      <c r="R8781" s="11"/>
      <c r="S8781" s="11"/>
    </row>
    <row r="8782" spans="1:19" s="9" customFormat="1" x14ac:dyDescent="0.25">
      <c r="A8782" s="10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  <c r="Q8782" s="11"/>
      <c r="R8782" s="11"/>
      <c r="S8782" s="11"/>
    </row>
    <row r="8783" spans="1:19" s="9" customFormat="1" x14ac:dyDescent="0.25">
      <c r="A8783" s="10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  <c r="Q8783" s="11"/>
      <c r="R8783" s="11"/>
      <c r="S8783" s="11"/>
    </row>
    <row r="8784" spans="1:19" s="9" customFormat="1" x14ac:dyDescent="0.25">
      <c r="A8784" s="10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  <c r="Q8784" s="11"/>
      <c r="R8784" s="11"/>
      <c r="S8784" s="11"/>
    </row>
    <row r="8785" spans="1:19" s="9" customFormat="1" x14ac:dyDescent="0.25">
      <c r="A8785" s="10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  <c r="Q8785" s="11"/>
      <c r="R8785" s="11"/>
      <c r="S8785" s="11"/>
    </row>
    <row r="8786" spans="1:19" s="9" customFormat="1" x14ac:dyDescent="0.25">
      <c r="A8786" s="10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  <c r="Q8786" s="11"/>
      <c r="R8786" s="11"/>
      <c r="S8786" s="11"/>
    </row>
    <row r="8787" spans="1:19" s="9" customFormat="1" x14ac:dyDescent="0.25">
      <c r="A8787" s="10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  <c r="Q8787" s="11"/>
      <c r="R8787" s="11"/>
      <c r="S8787" s="11"/>
    </row>
    <row r="8788" spans="1:19" s="9" customFormat="1" x14ac:dyDescent="0.25">
      <c r="A8788" s="10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  <c r="Q8788" s="11"/>
      <c r="R8788" s="11"/>
      <c r="S8788" s="11"/>
    </row>
    <row r="8789" spans="1:19" s="9" customFormat="1" x14ac:dyDescent="0.25">
      <c r="A8789" s="10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  <c r="Q8789" s="11"/>
      <c r="R8789" s="11"/>
      <c r="S8789" s="11"/>
    </row>
    <row r="8790" spans="1:19" s="9" customFormat="1" x14ac:dyDescent="0.25">
      <c r="A8790" s="10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  <c r="Q8790" s="11"/>
      <c r="R8790" s="11"/>
      <c r="S8790" s="11"/>
    </row>
    <row r="8791" spans="1:19" s="9" customFormat="1" x14ac:dyDescent="0.25">
      <c r="A8791" s="10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  <c r="Q8791" s="11"/>
      <c r="R8791" s="11"/>
      <c r="S8791" s="11"/>
    </row>
    <row r="8792" spans="1:19" s="9" customFormat="1" x14ac:dyDescent="0.25">
      <c r="A8792" s="10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  <c r="Q8792" s="11"/>
      <c r="R8792" s="11"/>
      <c r="S8792" s="11"/>
    </row>
    <row r="8793" spans="1:19" s="9" customFormat="1" x14ac:dyDescent="0.25">
      <c r="A8793" s="10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  <c r="Q8793" s="11"/>
      <c r="R8793" s="11"/>
      <c r="S8793" s="11"/>
    </row>
    <row r="8794" spans="1:19" s="9" customFormat="1" x14ac:dyDescent="0.25">
      <c r="A8794" s="10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  <c r="Q8794" s="11"/>
      <c r="R8794" s="11"/>
      <c r="S8794" s="11"/>
    </row>
    <row r="8795" spans="1:19" s="9" customFormat="1" x14ac:dyDescent="0.25">
      <c r="A8795" s="10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  <c r="Q8795" s="11"/>
      <c r="R8795" s="11"/>
      <c r="S8795" s="11"/>
    </row>
    <row r="8796" spans="1:19" s="9" customFormat="1" x14ac:dyDescent="0.25">
      <c r="A8796" s="10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  <c r="Q8796" s="11"/>
      <c r="R8796" s="11"/>
      <c r="S8796" s="11"/>
    </row>
    <row r="8797" spans="1:19" s="9" customFormat="1" x14ac:dyDescent="0.25">
      <c r="A8797" s="10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  <c r="Q8797" s="11"/>
      <c r="R8797" s="11"/>
      <c r="S8797" s="11"/>
    </row>
    <row r="8798" spans="1:19" s="9" customFormat="1" x14ac:dyDescent="0.25">
      <c r="A8798" s="10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  <c r="Q8798" s="11"/>
      <c r="R8798" s="11"/>
      <c r="S8798" s="11"/>
    </row>
    <row r="8799" spans="1:19" s="9" customFormat="1" x14ac:dyDescent="0.25">
      <c r="A8799" s="10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  <c r="Q8799" s="11"/>
      <c r="R8799" s="11"/>
      <c r="S8799" s="11"/>
    </row>
    <row r="8800" spans="1:19" s="9" customFormat="1" x14ac:dyDescent="0.25">
      <c r="A8800" s="10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  <c r="Q8800" s="11"/>
      <c r="R8800" s="11"/>
      <c r="S8800" s="11"/>
    </row>
    <row r="8801" spans="1:19" s="9" customFormat="1" x14ac:dyDescent="0.25">
      <c r="A8801" s="10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  <c r="Q8801" s="11"/>
      <c r="R8801" s="11"/>
      <c r="S8801" s="11"/>
    </row>
    <row r="8802" spans="1:19" s="9" customFormat="1" x14ac:dyDescent="0.25">
      <c r="A8802" s="10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  <c r="Q8802" s="11"/>
      <c r="R8802" s="11"/>
      <c r="S8802" s="11"/>
    </row>
    <row r="8803" spans="1:19" s="9" customFormat="1" x14ac:dyDescent="0.25">
      <c r="A8803" s="10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  <c r="Q8803" s="11"/>
      <c r="R8803" s="11"/>
      <c r="S8803" s="11"/>
    </row>
    <row r="8804" spans="1:19" s="9" customFormat="1" x14ac:dyDescent="0.25">
      <c r="A8804" s="10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  <c r="Q8804" s="11"/>
      <c r="R8804" s="11"/>
      <c r="S8804" s="11"/>
    </row>
    <row r="8805" spans="1:19" s="9" customFormat="1" x14ac:dyDescent="0.25">
      <c r="A8805" s="10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  <c r="Q8805" s="11"/>
      <c r="R8805" s="11"/>
      <c r="S8805" s="11"/>
    </row>
    <row r="8806" spans="1:19" s="9" customFormat="1" x14ac:dyDescent="0.25">
      <c r="A8806" s="10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  <c r="Q8806" s="11"/>
      <c r="R8806" s="11"/>
      <c r="S8806" s="11"/>
    </row>
    <row r="8807" spans="1:19" s="9" customFormat="1" x14ac:dyDescent="0.25">
      <c r="A8807" s="10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  <c r="Q8807" s="11"/>
      <c r="R8807" s="11"/>
      <c r="S8807" s="11"/>
    </row>
    <row r="8808" spans="1:19" s="9" customFormat="1" x14ac:dyDescent="0.25">
      <c r="A8808" s="10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  <c r="Q8808" s="11"/>
      <c r="R8808" s="11"/>
      <c r="S8808" s="11"/>
    </row>
    <row r="8809" spans="1:19" s="9" customFormat="1" x14ac:dyDescent="0.25">
      <c r="A8809" s="10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  <c r="Q8809" s="11"/>
      <c r="R8809" s="11"/>
      <c r="S8809" s="11"/>
    </row>
    <row r="8810" spans="1:19" s="9" customFormat="1" x14ac:dyDescent="0.25">
      <c r="A8810" s="10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  <c r="Q8810" s="11"/>
      <c r="R8810" s="11"/>
      <c r="S8810" s="11"/>
    </row>
    <row r="8811" spans="1:19" s="9" customFormat="1" x14ac:dyDescent="0.25">
      <c r="A8811" s="10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  <c r="Q8811" s="11"/>
      <c r="R8811" s="11"/>
      <c r="S8811" s="11"/>
    </row>
    <row r="8812" spans="1:19" s="9" customFormat="1" x14ac:dyDescent="0.25">
      <c r="A8812" s="10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  <c r="Q8812" s="11"/>
      <c r="R8812" s="11"/>
      <c r="S8812" s="11"/>
    </row>
    <row r="8813" spans="1:19" s="9" customFormat="1" x14ac:dyDescent="0.25">
      <c r="A8813" s="10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  <c r="Q8813" s="11"/>
      <c r="R8813" s="11"/>
      <c r="S8813" s="11"/>
    </row>
    <row r="8814" spans="1:19" s="9" customFormat="1" x14ac:dyDescent="0.25">
      <c r="A8814" s="10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  <c r="Q8814" s="11"/>
      <c r="R8814" s="11"/>
      <c r="S8814" s="11"/>
    </row>
    <row r="8815" spans="1:19" s="9" customFormat="1" x14ac:dyDescent="0.25">
      <c r="A8815" s="10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  <c r="Q8815" s="11"/>
      <c r="R8815" s="11"/>
      <c r="S8815" s="11"/>
    </row>
    <row r="8816" spans="1:19" s="9" customFormat="1" x14ac:dyDescent="0.25">
      <c r="A8816" s="10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  <c r="Q8816" s="11"/>
      <c r="R8816" s="11"/>
      <c r="S8816" s="11"/>
    </row>
    <row r="8817" spans="1:19" s="9" customFormat="1" x14ac:dyDescent="0.25">
      <c r="A8817" s="10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  <c r="Q8817" s="11"/>
      <c r="R8817" s="11"/>
      <c r="S8817" s="11"/>
    </row>
    <row r="8818" spans="1:19" s="9" customFormat="1" x14ac:dyDescent="0.25">
      <c r="A8818" s="10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  <c r="Q8818" s="11"/>
      <c r="R8818" s="11"/>
      <c r="S8818" s="11"/>
    </row>
    <row r="8819" spans="1:19" s="9" customFormat="1" x14ac:dyDescent="0.25">
      <c r="A8819" s="10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  <c r="Q8819" s="11"/>
      <c r="R8819" s="11"/>
      <c r="S8819" s="11"/>
    </row>
    <row r="8820" spans="1:19" s="9" customFormat="1" x14ac:dyDescent="0.25">
      <c r="A8820" s="10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  <c r="Q8820" s="11"/>
      <c r="R8820" s="11"/>
      <c r="S8820" s="11"/>
    </row>
    <row r="8821" spans="1:19" s="9" customFormat="1" x14ac:dyDescent="0.25">
      <c r="A8821" s="10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  <c r="Q8821" s="11"/>
      <c r="R8821" s="11"/>
      <c r="S8821" s="11"/>
    </row>
    <row r="8822" spans="1:19" s="9" customFormat="1" x14ac:dyDescent="0.25">
      <c r="A8822" s="10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  <c r="Q8822" s="11"/>
      <c r="R8822" s="11"/>
      <c r="S8822" s="11"/>
    </row>
    <row r="8823" spans="1:19" s="9" customFormat="1" x14ac:dyDescent="0.25">
      <c r="A8823" s="10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  <c r="Q8823" s="11"/>
      <c r="R8823" s="11"/>
      <c r="S8823" s="11"/>
    </row>
    <row r="8824" spans="1:19" s="9" customFormat="1" x14ac:dyDescent="0.25">
      <c r="A8824" s="10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  <c r="Q8824" s="11"/>
      <c r="R8824" s="11"/>
      <c r="S8824" s="11"/>
    </row>
    <row r="8825" spans="1:19" s="9" customFormat="1" x14ac:dyDescent="0.25">
      <c r="A8825" s="10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  <c r="Q8825" s="11"/>
      <c r="R8825" s="11"/>
      <c r="S8825" s="11"/>
    </row>
    <row r="8826" spans="1:19" s="9" customFormat="1" x14ac:dyDescent="0.25">
      <c r="A8826" s="10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  <c r="Q8826" s="11"/>
      <c r="R8826" s="11"/>
      <c r="S8826" s="11"/>
    </row>
    <row r="8827" spans="1:19" s="9" customFormat="1" x14ac:dyDescent="0.25">
      <c r="A8827" s="10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  <c r="Q8827" s="11"/>
      <c r="R8827" s="11"/>
      <c r="S8827" s="11"/>
    </row>
    <row r="8828" spans="1:19" s="9" customFormat="1" x14ac:dyDescent="0.25">
      <c r="A8828" s="10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  <c r="Q8828" s="11"/>
      <c r="R8828" s="11"/>
      <c r="S8828" s="11"/>
    </row>
    <row r="8829" spans="1:19" s="9" customFormat="1" x14ac:dyDescent="0.25">
      <c r="A8829" s="10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  <c r="Q8829" s="11"/>
      <c r="R8829" s="11"/>
      <c r="S8829" s="11"/>
    </row>
    <row r="8830" spans="1:19" s="9" customFormat="1" x14ac:dyDescent="0.25">
      <c r="A8830" s="10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  <c r="Q8830" s="11"/>
      <c r="R8830" s="11"/>
      <c r="S8830" s="11"/>
    </row>
    <row r="8831" spans="1:19" s="9" customFormat="1" x14ac:dyDescent="0.25">
      <c r="A8831" s="10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  <c r="Q8831" s="11"/>
      <c r="R8831" s="11"/>
      <c r="S8831" s="11"/>
    </row>
    <row r="8832" spans="1:19" s="9" customFormat="1" x14ac:dyDescent="0.25">
      <c r="A8832" s="10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  <c r="Q8832" s="11"/>
      <c r="R8832" s="11"/>
      <c r="S8832" s="11"/>
    </row>
    <row r="8833" spans="1:19" s="9" customFormat="1" x14ac:dyDescent="0.25">
      <c r="A8833" s="10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  <c r="Q8833" s="11"/>
      <c r="R8833" s="11"/>
      <c r="S8833" s="11"/>
    </row>
    <row r="8834" spans="1:19" s="9" customFormat="1" x14ac:dyDescent="0.25">
      <c r="A8834" s="10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  <c r="Q8834" s="11"/>
      <c r="R8834" s="11"/>
      <c r="S8834" s="11"/>
    </row>
    <row r="8835" spans="1:19" s="9" customFormat="1" x14ac:dyDescent="0.25">
      <c r="A8835" s="10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  <c r="Q8835" s="11"/>
      <c r="R8835" s="11"/>
      <c r="S8835" s="11"/>
    </row>
    <row r="8836" spans="1:19" s="9" customFormat="1" x14ac:dyDescent="0.25">
      <c r="A8836" s="10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  <c r="Q8836" s="11"/>
      <c r="R8836" s="11"/>
      <c r="S8836" s="11"/>
    </row>
    <row r="8837" spans="1:19" s="9" customFormat="1" x14ac:dyDescent="0.25">
      <c r="A8837" s="10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  <c r="Q8837" s="11"/>
      <c r="R8837" s="11"/>
      <c r="S8837" s="11"/>
    </row>
    <row r="8838" spans="1:19" s="9" customFormat="1" x14ac:dyDescent="0.25">
      <c r="A8838" s="10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  <c r="Q8838" s="11"/>
      <c r="R8838" s="11"/>
      <c r="S8838" s="11"/>
    </row>
    <row r="8839" spans="1:19" s="9" customFormat="1" x14ac:dyDescent="0.25">
      <c r="A8839" s="10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  <c r="Q8839" s="11"/>
      <c r="R8839" s="11"/>
      <c r="S8839" s="11"/>
    </row>
    <row r="8840" spans="1:19" s="9" customFormat="1" x14ac:dyDescent="0.25">
      <c r="A8840" s="10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  <c r="Q8840" s="11"/>
      <c r="R8840" s="11"/>
      <c r="S8840" s="11"/>
    </row>
    <row r="8841" spans="1:19" s="9" customFormat="1" x14ac:dyDescent="0.25">
      <c r="A8841" s="10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  <c r="Q8841" s="11"/>
      <c r="R8841" s="11"/>
      <c r="S8841" s="11"/>
    </row>
    <row r="8842" spans="1:19" s="9" customFormat="1" x14ac:dyDescent="0.25">
      <c r="A8842" s="10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  <c r="Q8842" s="11"/>
      <c r="R8842" s="11"/>
      <c r="S8842" s="11"/>
    </row>
    <row r="8843" spans="1:19" s="9" customFormat="1" x14ac:dyDescent="0.25">
      <c r="A8843" s="10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  <c r="Q8843" s="11"/>
      <c r="R8843" s="11"/>
      <c r="S8843" s="11"/>
    </row>
    <row r="8844" spans="1:19" s="9" customFormat="1" x14ac:dyDescent="0.25">
      <c r="A8844" s="10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  <c r="Q8844" s="11"/>
      <c r="R8844" s="11"/>
      <c r="S8844" s="11"/>
    </row>
    <row r="8845" spans="1:19" s="9" customFormat="1" x14ac:dyDescent="0.25">
      <c r="A8845" s="10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  <c r="Q8845" s="11"/>
      <c r="R8845" s="11"/>
      <c r="S8845" s="11"/>
    </row>
    <row r="8846" spans="1:19" s="9" customFormat="1" x14ac:dyDescent="0.25">
      <c r="A8846" s="10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  <c r="Q8846" s="11"/>
      <c r="R8846" s="11"/>
      <c r="S8846" s="11"/>
    </row>
    <row r="8847" spans="1:19" s="9" customFormat="1" x14ac:dyDescent="0.25">
      <c r="A8847" s="10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  <c r="Q8847" s="11"/>
      <c r="R8847" s="11"/>
      <c r="S8847" s="11"/>
    </row>
    <row r="8848" spans="1:19" s="9" customFormat="1" x14ac:dyDescent="0.25">
      <c r="A8848" s="10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  <c r="Q8848" s="11"/>
      <c r="R8848" s="11"/>
      <c r="S8848" s="11"/>
    </row>
    <row r="8849" spans="1:19" s="9" customFormat="1" x14ac:dyDescent="0.25">
      <c r="A8849" s="10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  <c r="Q8849" s="11"/>
      <c r="R8849" s="11"/>
      <c r="S8849" s="11"/>
    </row>
    <row r="8850" spans="1:19" s="9" customFormat="1" x14ac:dyDescent="0.25">
      <c r="A8850" s="10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  <c r="Q8850" s="11"/>
      <c r="R8850" s="11"/>
      <c r="S8850" s="11"/>
    </row>
    <row r="8851" spans="1:19" s="9" customFormat="1" x14ac:dyDescent="0.25">
      <c r="A8851" s="10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  <c r="Q8851" s="11"/>
      <c r="R8851" s="11"/>
      <c r="S8851" s="11"/>
    </row>
    <row r="8852" spans="1:19" s="9" customFormat="1" x14ac:dyDescent="0.25">
      <c r="A8852" s="10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  <c r="Q8852" s="11"/>
      <c r="R8852" s="11"/>
      <c r="S8852" s="11"/>
    </row>
    <row r="8853" spans="1:19" s="9" customFormat="1" x14ac:dyDescent="0.25">
      <c r="A8853" s="10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  <c r="Q8853" s="11"/>
      <c r="R8853" s="11"/>
      <c r="S8853" s="11"/>
    </row>
    <row r="8854" spans="1:19" s="9" customFormat="1" x14ac:dyDescent="0.25">
      <c r="A8854" s="10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  <c r="Q8854" s="11"/>
      <c r="R8854" s="11"/>
      <c r="S8854" s="11"/>
    </row>
    <row r="8855" spans="1:19" s="9" customFormat="1" x14ac:dyDescent="0.25">
      <c r="A8855" s="10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  <c r="Q8855" s="11"/>
      <c r="R8855" s="11"/>
      <c r="S8855" s="11"/>
    </row>
    <row r="8856" spans="1:19" s="9" customFormat="1" x14ac:dyDescent="0.25">
      <c r="A8856" s="10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  <c r="Q8856" s="11"/>
      <c r="R8856" s="11"/>
      <c r="S8856" s="11"/>
    </row>
    <row r="8857" spans="1:19" s="9" customFormat="1" x14ac:dyDescent="0.25">
      <c r="A8857" s="10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  <c r="Q8857" s="11"/>
      <c r="R8857" s="11"/>
      <c r="S8857" s="11"/>
    </row>
    <row r="8858" spans="1:19" s="9" customFormat="1" x14ac:dyDescent="0.25">
      <c r="A8858" s="10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  <c r="Q8858" s="11"/>
      <c r="R8858" s="11"/>
      <c r="S8858" s="11"/>
    </row>
    <row r="8859" spans="1:19" s="9" customFormat="1" x14ac:dyDescent="0.25">
      <c r="A8859" s="10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  <c r="Q8859" s="11"/>
      <c r="R8859" s="11"/>
      <c r="S8859" s="11"/>
    </row>
    <row r="8860" spans="1:19" s="9" customFormat="1" x14ac:dyDescent="0.25">
      <c r="A8860" s="10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  <c r="Q8860" s="11"/>
      <c r="R8860" s="11"/>
      <c r="S8860" s="11"/>
    </row>
    <row r="8861" spans="1:19" s="9" customFormat="1" x14ac:dyDescent="0.25">
      <c r="A8861" s="10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  <c r="Q8861" s="11"/>
      <c r="R8861" s="11"/>
      <c r="S8861" s="11"/>
    </row>
    <row r="8862" spans="1:19" s="9" customFormat="1" x14ac:dyDescent="0.25">
      <c r="A8862" s="10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  <c r="Q8862" s="11"/>
      <c r="R8862" s="11"/>
      <c r="S8862" s="11"/>
    </row>
    <row r="8863" spans="1:19" s="9" customFormat="1" x14ac:dyDescent="0.25">
      <c r="A8863" s="10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  <c r="Q8863" s="11"/>
      <c r="R8863" s="11"/>
      <c r="S8863" s="11"/>
    </row>
    <row r="8864" spans="1:19" s="9" customFormat="1" x14ac:dyDescent="0.25">
      <c r="A8864" s="10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  <c r="Q8864" s="11"/>
      <c r="R8864" s="11"/>
      <c r="S8864" s="11"/>
    </row>
    <row r="8865" spans="1:19" s="9" customFormat="1" x14ac:dyDescent="0.25">
      <c r="A8865" s="10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  <c r="Q8865" s="11"/>
      <c r="R8865" s="11"/>
      <c r="S8865" s="11"/>
    </row>
    <row r="8866" spans="1:19" s="9" customFormat="1" x14ac:dyDescent="0.25">
      <c r="A8866" s="10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  <c r="Q8866" s="11"/>
      <c r="R8866" s="11"/>
      <c r="S8866" s="11"/>
    </row>
    <row r="8867" spans="1:19" s="9" customFormat="1" x14ac:dyDescent="0.25">
      <c r="A8867" s="10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  <c r="Q8867" s="11"/>
      <c r="R8867" s="11"/>
      <c r="S8867" s="11"/>
    </row>
    <row r="8868" spans="1:19" s="9" customFormat="1" x14ac:dyDescent="0.25">
      <c r="A8868" s="10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  <c r="Q8868" s="11"/>
      <c r="R8868" s="11"/>
      <c r="S8868" s="11"/>
    </row>
    <row r="8869" spans="1:19" s="9" customFormat="1" x14ac:dyDescent="0.25">
      <c r="A8869" s="10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  <c r="Q8869" s="11"/>
      <c r="R8869" s="11"/>
      <c r="S8869" s="11"/>
    </row>
    <row r="8870" spans="1:19" s="9" customFormat="1" x14ac:dyDescent="0.25">
      <c r="A8870" s="10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  <c r="Q8870" s="11"/>
      <c r="R8870" s="11"/>
      <c r="S8870" s="11"/>
    </row>
    <row r="8871" spans="1:19" s="9" customFormat="1" x14ac:dyDescent="0.25">
      <c r="A8871" s="10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  <c r="Q8871" s="11"/>
      <c r="R8871" s="11"/>
      <c r="S8871" s="11"/>
    </row>
    <row r="8872" spans="1:19" s="9" customFormat="1" x14ac:dyDescent="0.25">
      <c r="A8872" s="10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  <c r="Q8872" s="11"/>
      <c r="R8872" s="11"/>
      <c r="S8872" s="11"/>
    </row>
    <row r="8873" spans="1:19" s="9" customFormat="1" x14ac:dyDescent="0.25">
      <c r="A8873" s="10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  <c r="Q8873" s="11"/>
      <c r="R8873" s="11"/>
      <c r="S8873" s="11"/>
    </row>
    <row r="8874" spans="1:19" s="9" customFormat="1" x14ac:dyDescent="0.25">
      <c r="A8874" s="10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  <c r="Q8874" s="11"/>
      <c r="R8874" s="11"/>
      <c r="S8874" s="11"/>
    </row>
    <row r="8875" spans="1:19" s="9" customFormat="1" x14ac:dyDescent="0.25">
      <c r="A8875" s="10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  <c r="Q8875" s="11"/>
      <c r="R8875" s="11"/>
      <c r="S8875" s="11"/>
    </row>
    <row r="8876" spans="1:19" s="9" customFormat="1" x14ac:dyDescent="0.25">
      <c r="A8876" s="10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  <c r="Q8876" s="11"/>
      <c r="R8876" s="11"/>
      <c r="S8876" s="11"/>
    </row>
    <row r="8877" spans="1:19" s="9" customFormat="1" x14ac:dyDescent="0.25">
      <c r="A8877" s="10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  <c r="Q8877" s="11"/>
      <c r="R8877" s="11"/>
      <c r="S8877" s="11"/>
    </row>
    <row r="8878" spans="1:19" s="9" customFormat="1" x14ac:dyDescent="0.25">
      <c r="A8878" s="10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  <c r="Q8878" s="11"/>
      <c r="R8878" s="11"/>
      <c r="S8878" s="11"/>
    </row>
    <row r="8879" spans="1:19" s="9" customFormat="1" x14ac:dyDescent="0.25">
      <c r="A8879" s="10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  <c r="Q8879" s="11"/>
      <c r="R8879" s="11"/>
      <c r="S8879" s="11"/>
    </row>
    <row r="8880" spans="1:19" s="9" customFormat="1" x14ac:dyDescent="0.25">
      <c r="A8880" s="10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  <c r="Q8880" s="11"/>
      <c r="R8880" s="11"/>
      <c r="S8880" s="11"/>
    </row>
    <row r="8881" spans="1:19" s="9" customFormat="1" x14ac:dyDescent="0.25">
      <c r="A8881" s="10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  <c r="Q8881" s="11"/>
      <c r="R8881" s="11"/>
      <c r="S8881" s="11"/>
    </row>
    <row r="8882" spans="1:19" s="9" customFormat="1" x14ac:dyDescent="0.25">
      <c r="A8882" s="10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  <c r="Q8882" s="11"/>
      <c r="R8882" s="11"/>
      <c r="S8882" s="11"/>
    </row>
    <row r="8883" spans="1:19" s="9" customFormat="1" x14ac:dyDescent="0.25">
      <c r="A8883" s="10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  <c r="Q8883" s="11"/>
      <c r="R8883" s="11"/>
      <c r="S8883" s="11"/>
    </row>
    <row r="8884" spans="1:19" s="9" customFormat="1" x14ac:dyDescent="0.25">
      <c r="A8884" s="10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  <c r="Q8884" s="11"/>
      <c r="R8884" s="11"/>
      <c r="S8884" s="11"/>
    </row>
    <row r="8885" spans="1:19" s="9" customFormat="1" x14ac:dyDescent="0.25">
      <c r="A8885" s="10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  <c r="Q8885" s="11"/>
      <c r="R8885" s="11"/>
      <c r="S8885" s="11"/>
    </row>
    <row r="8886" spans="1:19" s="9" customFormat="1" x14ac:dyDescent="0.25">
      <c r="A8886" s="10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  <c r="Q8886" s="11"/>
      <c r="R8886" s="11"/>
      <c r="S8886" s="11"/>
    </row>
    <row r="8887" spans="1:19" s="9" customFormat="1" x14ac:dyDescent="0.25">
      <c r="A8887" s="10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  <c r="Q8887" s="11"/>
      <c r="R8887" s="11"/>
      <c r="S8887" s="11"/>
    </row>
    <row r="8888" spans="1:19" s="9" customFormat="1" x14ac:dyDescent="0.25">
      <c r="A8888" s="10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  <c r="Q8888" s="11"/>
      <c r="R8888" s="11"/>
      <c r="S8888" s="11"/>
    </row>
    <row r="8889" spans="1:19" s="9" customFormat="1" x14ac:dyDescent="0.25">
      <c r="A8889" s="10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  <c r="Q8889" s="11"/>
      <c r="R8889" s="11"/>
      <c r="S8889" s="11"/>
    </row>
    <row r="8890" spans="1:19" s="9" customFormat="1" x14ac:dyDescent="0.25">
      <c r="A8890" s="10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  <c r="Q8890" s="11"/>
      <c r="R8890" s="11"/>
      <c r="S8890" s="11"/>
    </row>
    <row r="8891" spans="1:19" s="9" customFormat="1" x14ac:dyDescent="0.25">
      <c r="A8891" s="10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  <c r="Q8891" s="11"/>
      <c r="R8891" s="11"/>
      <c r="S8891" s="11"/>
    </row>
    <row r="8892" spans="1:19" s="9" customFormat="1" x14ac:dyDescent="0.25">
      <c r="A8892" s="10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  <c r="Q8892" s="11"/>
      <c r="R8892" s="11"/>
      <c r="S8892" s="11"/>
    </row>
    <row r="8893" spans="1:19" s="9" customFormat="1" x14ac:dyDescent="0.25">
      <c r="A8893" s="10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  <c r="Q8893" s="11"/>
      <c r="R8893" s="11"/>
      <c r="S8893" s="11"/>
    </row>
    <row r="8894" spans="1:19" s="9" customFormat="1" x14ac:dyDescent="0.25">
      <c r="A8894" s="10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  <c r="Q8894" s="11"/>
      <c r="R8894" s="11"/>
      <c r="S8894" s="11"/>
    </row>
    <row r="8895" spans="1:19" s="9" customFormat="1" x14ac:dyDescent="0.25">
      <c r="A8895" s="10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  <c r="Q8895" s="11"/>
      <c r="R8895" s="11"/>
      <c r="S8895" s="11"/>
    </row>
    <row r="8896" spans="1:19" s="9" customFormat="1" x14ac:dyDescent="0.25">
      <c r="A8896" s="10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  <c r="Q8896" s="11"/>
      <c r="R8896" s="11"/>
      <c r="S8896" s="11"/>
    </row>
    <row r="8897" spans="1:19" s="9" customFormat="1" x14ac:dyDescent="0.25">
      <c r="A8897" s="10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  <c r="Q8897" s="11"/>
      <c r="R8897" s="11"/>
      <c r="S8897" s="11"/>
    </row>
    <row r="8898" spans="1:19" s="9" customFormat="1" x14ac:dyDescent="0.25">
      <c r="A8898" s="10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  <c r="Q8898" s="11"/>
      <c r="R8898" s="11"/>
      <c r="S8898" s="11"/>
    </row>
    <row r="8899" spans="1:19" s="9" customFormat="1" x14ac:dyDescent="0.25">
      <c r="A8899" s="10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  <c r="Q8899" s="11"/>
      <c r="R8899" s="11"/>
      <c r="S8899" s="11"/>
    </row>
    <row r="8900" spans="1:19" s="9" customFormat="1" x14ac:dyDescent="0.25">
      <c r="A8900" s="10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  <c r="Q8900" s="11"/>
      <c r="R8900" s="11"/>
      <c r="S8900" s="11"/>
    </row>
    <row r="8901" spans="1:19" s="9" customFormat="1" x14ac:dyDescent="0.25">
      <c r="A8901" s="10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  <c r="Q8901" s="11"/>
      <c r="R8901" s="11"/>
      <c r="S8901" s="11"/>
    </row>
    <row r="8902" spans="1:19" s="9" customFormat="1" x14ac:dyDescent="0.25">
      <c r="A8902" s="10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  <c r="Q8902" s="11"/>
      <c r="R8902" s="11"/>
      <c r="S8902" s="11"/>
    </row>
    <row r="8903" spans="1:19" s="9" customFormat="1" x14ac:dyDescent="0.25">
      <c r="A8903" s="10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  <c r="Q8903" s="11"/>
      <c r="R8903" s="11"/>
      <c r="S8903" s="11"/>
    </row>
    <row r="8904" spans="1:19" s="9" customFormat="1" x14ac:dyDescent="0.25">
      <c r="A8904" s="10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  <c r="Q8904" s="11"/>
      <c r="R8904" s="11"/>
      <c r="S8904" s="11"/>
    </row>
    <row r="8905" spans="1:19" s="9" customFormat="1" x14ac:dyDescent="0.25">
      <c r="A8905" s="10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  <c r="Q8905" s="11"/>
      <c r="R8905" s="11"/>
      <c r="S8905" s="11"/>
    </row>
    <row r="8906" spans="1:19" s="9" customFormat="1" x14ac:dyDescent="0.25">
      <c r="A8906" s="10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  <c r="Q8906" s="11"/>
      <c r="R8906" s="11"/>
      <c r="S8906" s="11"/>
    </row>
    <row r="8907" spans="1:19" s="9" customFormat="1" x14ac:dyDescent="0.25">
      <c r="A8907" s="10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  <c r="Q8907" s="11"/>
      <c r="R8907" s="11"/>
      <c r="S8907" s="11"/>
    </row>
    <row r="8908" spans="1:19" s="9" customFormat="1" x14ac:dyDescent="0.25">
      <c r="A8908" s="10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  <c r="Q8908" s="11"/>
      <c r="R8908" s="11"/>
      <c r="S8908" s="11"/>
    </row>
    <row r="8909" spans="1:19" s="9" customFormat="1" x14ac:dyDescent="0.25">
      <c r="A8909" s="10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  <c r="Q8909" s="11"/>
      <c r="R8909" s="11"/>
      <c r="S8909" s="11"/>
    </row>
    <row r="8910" spans="1:19" s="9" customFormat="1" x14ac:dyDescent="0.25">
      <c r="A8910" s="10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  <c r="Q8910" s="11"/>
      <c r="R8910" s="11"/>
      <c r="S8910" s="11"/>
    </row>
    <row r="8911" spans="1:19" s="9" customFormat="1" x14ac:dyDescent="0.25">
      <c r="A8911" s="10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  <c r="Q8911" s="11"/>
      <c r="R8911" s="11"/>
      <c r="S8911" s="11"/>
    </row>
    <row r="8912" spans="1:19" s="9" customFormat="1" x14ac:dyDescent="0.25">
      <c r="A8912" s="10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  <c r="Q8912" s="11"/>
      <c r="R8912" s="11"/>
      <c r="S8912" s="11"/>
    </row>
    <row r="8913" spans="1:19" s="9" customFormat="1" x14ac:dyDescent="0.25">
      <c r="A8913" s="10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  <c r="Q8913" s="11"/>
      <c r="R8913" s="11"/>
      <c r="S8913" s="11"/>
    </row>
    <row r="8914" spans="1:19" s="9" customFormat="1" x14ac:dyDescent="0.25">
      <c r="A8914" s="10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  <c r="Q8914" s="11"/>
      <c r="R8914" s="11"/>
      <c r="S8914" s="11"/>
    </row>
    <row r="8915" spans="1:19" s="9" customFormat="1" x14ac:dyDescent="0.25">
      <c r="A8915" s="10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  <c r="Q8915" s="11"/>
      <c r="R8915" s="11"/>
      <c r="S8915" s="11"/>
    </row>
    <row r="8916" spans="1:19" s="9" customFormat="1" x14ac:dyDescent="0.25">
      <c r="A8916" s="10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  <c r="Q8916" s="11"/>
      <c r="R8916" s="11"/>
      <c r="S8916" s="11"/>
    </row>
    <row r="8917" spans="1:19" s="9" customFormat="1" x14ac:dyDescent="0.25">
      <c r="A8917" s="10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  <c r="Q8917" s="11"/>
      <c r="R8917" s="11"/>
      <c r="S8917" s="11"/>
    </row>
    <row r="8918" spans="1:19" s="9" customFormat="1" x14ac:dyDescent="0.25">
      <c r="A8918" s="10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  <c r="Q8918" s="11"/>
      <c r="R8918" s="11"/>
      <c r="S8918" s="11"/>
    </row>
    <row r="8919" spans="1:19" s="9" customFormat="1" x14ac:dyDescent="0.25">
      <c r="A8919" s="10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  <c r="Q8919" s="11"/>
      <c r="R8919" s="11"/>
      <c r="S8919" s="11"/>
    </row>
    <row r="8920" spans="1:19" s="9" customFormat="1" x14ac:dyDescent="0.25">
      <c r="A8920" s="10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  <c r="Q8920" s="11"/>
      <c r="R8920" s="11"/>
      <c r="S8920" s="11"/>
    </row>
    <row r="8921" spans="1:19" s="9" customFormat="1" x14ac:dyDescent="0.25">
      <c r="A8921" s="10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  <c r="Q8921" s="11"/>
      <c r="R8921" s="11"/>
      <c r="S8921" s="11"/>
    </row>
    <row r="8922" spans="1:19" s="9" customFormat="1" x14ac:dyDescent="0.25">
      <c r="A8922" s="10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  <c r="Q8922" s="11"/>
      <c r="R8922" s="11"/>
      <c r="S8922" s="11"/>
    </row>
    <row r="8923" spans="1:19" s="9" customFormat="1" x14ac:dyDescent="0.25">
      <c r="A8923" s="10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  <c r="Q8923" s="11"/>
      <c r="R8923" s="11"/>
      <c r="S8923" s="11"/>
    </row>
    <row r="8924" spans="1:19" s="9" customFormat="1" x14ac:dyDescent="0.25">
      <c r="A8924" s="10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  <c r="Q8924" s="11"/>
      <c r="R8924" s="11"/>
      <c r="S8924" s="11"/>
    </row>
    <row r="8925" spans="1:19" s="9" customFormat="1" x14ac:dyDescent="0.25">
      <c r="A8925" s="10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  <c r="Q8925" s="11"/>
      <c r="R8925" s="11"/>
      <c r="S8925" s="11"/>
    </row>
    <row r="8926" spans="1:19" s="9" customFormat="1" x14ac:dyDescent="0.25">
      <c r="A8926" s="10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  <c r="Q8926" s="11"/>
      <c r="R8926" s="11"/>
      <c r="S8926" s="11"/>
    </row>
    <row r="8927" spans="1:19" s="9" customFormat="1" x14ac:dyDescent="0.25">
      <c r="A8927" s="10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  <c r="Q8927" s="11"/>
      <c r="R8927" s="11"/>
      <c r="S8927" s="11"/>
    </row>
    <row r="8928" spans="1:19" s="9" customFormat="1" x14ac:dyDescent="0.25">
      <c r="A8928" s="10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  <c r="Q8928" s="11"/>
      <c r="R8928" s="11"/>
      <c r="S8928" s="11"/>
    </row>
    <row r="8929" spans="1:19" s="9" customFormat="1" x14ac:dyDescent="0.25">
      <c r="A8929" s="10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  <c r="Q8929" s="11"/>
      <c r="R8929" s="11"/>
      <c r="S8929" s="11"/>
    </row>
    <row r="8930" spans="1:19" s="9" customFormat="1" x14ac:dyDescent="0.25">
      <c r="A8930" s="10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  <c r="Q8930" s="11"/>
      <c r="R8930" s="11"/>
      <c r="S8930" s="11"/>
    </row>
    <row r="8931" spans="1:19" s="9" customFormat="1" x14ac:dyDescent="0.25">
      <c r="A8931" s="10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  <c r="Q8931" s="11"/>
      <c r="R8931" s="11"/>
      <c r="S8931" s="11"/>
    </row>
    <row r="8932" spans="1:19" s="9" customFormat="1" x14ac:dyDescent="0.25">
      <c r="A8932" s="10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  <c r="Q8932" s="11"/>
      <c r="R8932" s="11"/>
      <c r="S8932" s="11"/>
    </row>
    <row r="8933" spans="1:19" s="9" customFormat="1" x14ac:dyDescent="0.25">
      <c r="A8933" s="10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  <c r="Q8933" s="11"/>
      <c r="R8933" s="11"/>
      <c r="S8933" s="11"/>
    </row>
    <row r="8934" spans="1:19" s="9" customFormat="1" x14ac:dyDescent="0.25">
      <c r="A8934" s="10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  <c r="Q8934" s="11"/>
      <c r="R8934" s="11"/>
      <c r="S8934" s="11"/>
    </row>
    <row r="8935" spans="1:19" s="9" customFormat="1" x14ac:dyDescent="0.25">
      <c r="A8935" s="10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  <c r="Q8935" s="11"/>
      <c r="R8935" s="11"/>
      <c r="S8935" s="11"/>
    </row>
    <row r="8936" spans="1:19" s="9" customFormat="1" x14ac:dyDescent="0.25">
      <c r="A8936" s="10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  <c r="Q8936" s="11"/>
      <c r="R8936" s="11"/>
      <c r="S8936" s="11"/>
    </row>
    <row r="8937" spans="1:19" s="9" customFormat="1" x14ac:dyDescent="0.25">
      <c r="A8937" s="10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  <c r="Q8937" s="11"/>
      <c r="R8937" s="11"/>
      <c r="S8937" s="11"/>
    </row>
    <row r="8938" spans="1:19" s="9" customFormat="1" x14ac:dyDescent="0.25">
      <c r="A8938" s="10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  <c r="Q8938" s="11"/>
      <c r="R8938" s="11"/>
      <c r="S8938" s="11"/>
    </row>
    <row r="8939" spans="1:19" s="9" customFormat="1" x14ac:dyDescent="0.25">
      <c r="A8939" s="10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  <c r="Q8939" s="11"/>
      <c r="R8939" s="11"/>
      <c r="S8939" s="11"/>
    </row>
    <row r="8940" spans="1:19" s="9" customFormat="1" x14ac:dyDescent="0.25">
      <c r="A8940" s="10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  <c r="Q8940" s="11"/>
      <c r="R8940" s="11"/>
      <c r="S8940" s="11"/>
    </row>
    <row r="8941" spans="1:19" s="9" customFormat="1" x14ac:dyDescent="0.25">
      <c r="A8941" s="10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  <c r="Q8941" s="11"/>
      <c r="R8941" s="11"/>
      <c r="S8941" s="11"/>
    </row>
    <row r="8942" spans="1:19" s="9" customFormat="1" x14ac:dyDescent="0.25">
      <c r="A8942" s="10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  <c r="Q8942" s="11"/>
      <c r="R8942" s="11"/>
      <c r="S8942" s="11"/>
    </row>
    <row r="8943" spans="1:19" s="9" customFormat="1" x14ac:dyDescent="0.25">
      <c r="A8943" s="10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  <c r="Q8943" s="11"/>
      <c r="R8943" s="11"/>
      <c r="S8943" s="11"/>
    </row>
    <row r="8944" spans="1:19" s="9" customFormat="1" x14ac:dyDescent="0.25">
      <c r="A8944" s="10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  <c r="Q8944" s="11"/>
      <c r="R8944" s="11"/>
      <c r="S8944" s="11"/>
    </row>
    <row r="8945" spans="1:19" s="9" customFormat="1" x14ac:dyDescent="0.25">
      <c r="A8945" s="10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  <c r="Q8945" s="11"/>
      <c r="R8945" s="11"/>
      <c r="S8945" s="11"/>
    </row>
    <row r="8946" spans="1:19" s="9" customFormat="1" x14ac:dyDescent="0.25">
      <c r="A8946" s="10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  <c r="Q8946" s="11"/>
      <c r="R8946" s="11"/>
      <c r="S8946" s="11"/>
    </row>
    <row r="8947" spans="1:19" s="9" customFormat="1" x14ac:dyDescent="0.25">
      <c r="A8947" s="10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  <c r="Q8947" s="11"/>
      <c r="R8947" s="11"/>
      <c r="S8947" s="11"/>
    </row>
    <row r="8948" spans="1:19" s="9" customFormat="1" x14ac:dyDescent="0.25">
      <c r="A8948" s="10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  <c r="Q8948" s="11"/>
      <c r="R8948" s="11"/>
      <c r="S8948" s="11"/>
    </row>
    <row r="8949" spans="1:19" s="9" customFormat="1" x14ac:dyDescent="0.25">
      <c r="A8949" s="10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  <c r="Q8949" s="11"/>
      <c r="R8949" s="11"/>
      <c r="S8949" s="11"/>
    </row>
    <row r="8950" spans="1:19" s="9" customFormat="1" x14ac:dyDescent="0.25">
      <c r="A8950" s="10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  <c r="Q8950" s="11"/>
      <c r="R8950" s="11"/>
      <c r="S8950" s="11"/>
    </row>
    <row r="8951" spans="1:19" s="9" customFormat="1" x14ac:dyDescent="0.25">
      <c r="A8951" s="10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  <c r="Q8951" s="11"/>
      <c r="R8951" s="11"/>
      <c r="S8951" s="11"/>
    </row>
    <row r="8952" spans="1:19" s="9" customFormat="1" x14ac:dyDescent="0.25">
      <c r="A8952" s="10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  <c r="Q8952" s="11"/>
      <c r="R8952" s="11"/>
      <c r="S8952" s="11"/>
    </row>
    <row r="8953" spans="1:19" s="9" customFormat="1" x14ac:dyDescent="0.25">
      <c r="A8953" s="10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  <c r="Q8953" s="11"/>
      <c r="R8953" s="11"/>
      <c r="S8953" s="11"/>
    </row>
    <row r="8954" spans="1:19" s="9" customFormat="1" x14ac:dyDescent="0.25">
      <c r="A8954" s="10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  <c r="Q8954" s="11"/>
      <c r="R8954" s="11"/>
      <c r="S8954" s="11"/>
    </row>
    <row r="8955" spans="1:19" s="9" customFormat="1" x14ac:dyDescent="0.25">
      <c r="A8955" s="10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  <c r="Q8955" s="11"/>
      <c r="R8955" s="11"/>
      <c r="S8955" s="11"/>
    </row>
    <row r="8956" spans="1:19" s="9" customFormat="1" x14ac:dyDescent="0.25">
      <c r="A8956" s="10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  <c r="Q8956" s="11"/>
      <c r="R8956" s="11"/>
      <c r="S8956" s="11"/>
    </row>
    <row r="8957" spans="1:19" s="9" customFormat="1" x14ac:dyDescent="0.25">
      <c r="A8957" s="10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  <c r="Q8957" s="11"/>
      <c r="R8957" s="11"/>
      <c r="S8957" s="11"/>
    </row>
    <row r="8958" spans="1:19" s="9" customFormat="1" x14ac:dyDescent="0.25">
      <c r="A8958" s="10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  <c r="Q8958" s="11"/>
      <c r="R8958" s="11"/>
      <c r="S8958" s="11"/>
    </row>
    <row r="8959" spans="1:19" s="9" customFormat="1" x14ac:dyDescent="0.25">
      <c r="A8959" s="10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  <c r="Q8959" s="11"/>
      <c r="R8959" s="11"/>
      <c r="S8959" s="11"/>
    </row>
    <row r="8960" spans="1:19" s="9" customFormat="1" x14ac:dyDescent="0.25">
      <c r="A8960" s="10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  <c r="Q8960" s="11"/>
      <c r="R8960" s="11"/>
      <c r="S8960" s="11"/>
    </row>
    <row r="8961" spans="1:19" s="9" customFormat="1" x14ac:dyDescent="0.25">
      <c r="A8961" s="10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  <c r="Q8961" s="11"/>
      <c r="R8961" s="11"/>
      <c r="S8961" s="11"/>
    </row>
    <row r="8962" spans="1:19" s="9" customFormat="1" x14ac:dyDescent="0.25">
      <c r="A8962" s="10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  <c r="Q8962" s="11"/>
      <c r="R8962" s="11"/>
      <c r="S8962" s="11"/>
    </row>
    <row r="8963" spans="1:19" s="9" customFormat="1" x14ac:dyDescent="0.25">
      <c r="A8963" s="10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  <c r="Q8963" s="11"/>
      <c r="R8963" s="11"/>
      <c r="S8963" s="11"/>
    </row>
    <row r="8964" spans="1:19" s="9" customFormat="1" x14ac:dyDescent="0.25">
      <c r="A8964" s="10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  <c r="Q8964" s="11"/>
      <c r="R8964" s="11"/>
      <c r="S8964" s="11"/>
    </row>
    <row r="8965" spans="1:19" s="9" customFormat="1" x14ac:dyDescent="0.25">
      <c r="A8965" s="10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  <c r="Q8965" s="11"/>
      <c r="R8965" s="11"/>
      <c r="S8965" s="11"/>
    </row>
    <row r="8966" spans="1:19" s="9" customFormat="1" x14ac:dyDescent="0.25">
      <c r="A8966" s="10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  <c r="Q8966" s="11"/>
      <c r="R8966" s="11"/>
      <c r="S8966" s="11"/>
    </row>
    <row r="8967" spans="1:19" s="9" customFormat="1" x14ac:dyDescent="0.25">
      <c r="A8967" s="10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  <c r="Q8967" s="11"/>
      <c r="R8967" s="11"/>
      <c r="S8967" s="11"/>
    </row>
    <row r="8968" spans="1:19" s="9" customFormat="1" x14ac:dyDescent="0.25">
      <c r="A8968" s="10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  <c r="Q8968" s="11"/>
      <c r="R8968" s="11"/>
      <c r="S8968" s="11"/>
    </row>
    <row r="8969" spans="1:19" s="9" customFormat="1" x14ac:dyDescent="0.25">
      <c r="A8969" s="10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  <c r="Q8969" s="11"/>
      <c r="R8969" s="11"/>
      <c r="S8969" s="11"/>
    </row>
    <row r="8970" spans="1:19" s="9" customFormat="1" x14ac:dyDescent="0.25">
      <c r="A8970" s="10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  <c r="Q8970" s="11"/>
      <c r="R8970" s="11"/>
      <c r="S8970" s="11"/>
    </row>
    <row r="8971" spans="1:19" s="9" customFormat="1" x14ac:dyDescent="0.25">
      <c r="A8971" s="10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  <c r="Q8971" s="11"/>
      <c r="R8971" s="11"/>
      <c r="S8971" s="11"/>
    </row>
    <row r="8972" spans="1:19" s="9" customFormat="1" x14ac:dyDescent="0.25">
      <c r="A8972" s="10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  <c r="Q8972" s="11"/>
      <c r="R8972" s="11"/>
      <c r="S8972" s="11"/>
    </row>
    <row r="8973" spans="1:19" s="9" customFormat="1" x14ac:dyDescent="0.25">
      <c r="A8973" s="10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  <c r="Q8973" s="11"/>
      <c r="R8973" s="11"/>
      <c r="S8973" s="11"/>
    </row>
    <row r="8974" spans="1:19" s="9" customFormat="1" x14ac:dyDescent="0.25">
      <c r="A8974" s="10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  <c r="Q8974" s="11"/>
      <c r="R8974" s="11"/>
      <c r="S8974" s="11"/>
    </row>
    <row r="8975" spans="1:19" s="9" customFormat="1" x14ac:dyDescent="0.25">
      <c r="A8975" s="10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  <c r="Q8975" s="11"/>
      <c r="R8975" s="11"/>
      <c r="S8975" s="11"/>
    </row>
    <row r="8976" spans="1:19" s="9" customFormat="1" x14ac:dyDescent="0.25">
      <c r="A8976" s="10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  <c r="Q8976" s="11"/>
      <c r="R8976" s="11"/>
      <c r="S8976" s="11"/>
    </row>
    <row r="8977" spans="1:19" s="9" customFormat="1" x14ac:dyDescent="0.25">
      <c r="A8977" s="10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  <c r="Q8977" s="11"/>
      <c r="R8977" s="11"/>
      <c r="S8977" s="11"/>
    </row>
    <row r="8978" spans="1:19" s="9" customFormat="1" x14ac:dyDescent="0.25">
      <c r="A8978" s="10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  <c r="Q8978" s="11"/>
      <c r="R8978" s="11"/>
      <c r="S8978" s="11"/>
    </row>
    <row r="8979" spans="1:19" s="9" customFormat="1" x14ac:dyDescent="0.25">
      <c r="A8979" s="10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  <c r="Q8979" s="11"/>
      <c r="R8979" s="11"/>
      <c r="S8979" s="11"/>
    </row>
    <row r="8980" spans="1:19" s="9" customFormat="1" x14ac:dyDescent="0.25">
      <c r="A8980" s="10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  <c r="Q8980" s="11"/>
      <c r="R8980" s="11"/>
      <c r="S8980" s="11"/>
    </row>
    <row r="8981" spans="1:19" s="9" customFormat="1" x14ac:dyDescent="0.25">
      <c r="A8981" s="10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  <c r="Q8981" s="11"/>
      <c r="R8981" s="11"/>
      <c r="S8981" s="11"/>
    </row>
    <row r="8982" spans="1:19" s="9" customFormat="1" x14ac:dyDescent="0.25">
      <c r="A8982" s="10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  <c r="Q8982" s="11"/>
      <c r="R8982" s="11"/>
      <c r="S8982" s="11"/>
    </row>
    <row r="8983" spans="1:19" s="9" customFormat="1" x14ac:dyDescent="0.25">
      <c r="A8983" s="10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  <c r="Q8983" s="11"/>
      <c r="R8983" s="11"/>
      <c r="S8983" s="11"/>
    </row>
    <row r="8984" spans="1:19" s="9" customFormat="1" x14ac:dyDescent="0.25">
      <c r="A8984" s="10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  <c r="Q8984" s="11"/>
      <c r="R8984" s="11"/>
      <c r="S8984" s="11"/>
    </row>
    <row r="8985" spans="1:19" s="9" customFormat="1" x14ac:dyDescent="0.25">
      <c r="A8985" s="10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  <c r="Q8985" s="11"/>
      <c r="R8985" s="11"/>
      <c r="S8985" s="11"/>
    </row>
    <row r="8986" spans="1:19" s="9" customFormat="1" x14ac:dyDescent="0.25">
      <c r="A8986" s="10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  <c r="Q8986" s="11"/>
      <c r="R8986" s="11"/>
      <c r="S8986" s="11"/>
    </row>
    <row r="8987" spans="1:19" s="9" customFormat="1" x14ac:dyDescent="0.25">
      <c r="A8987" s="10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  <c r="Q8987" s="11"/>
      <c r="R8987" s="11"/>
      <c r="S8987" s="11"/>
    </row>
    <row r="8988" spans="1:19" s="9" customFormat="1" x14ac:dyDescent="0.25">
      <c r="A8988" s="10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  <c r="Q8988" s="11"/>
      <c r="R8988" s="11"/>
      <c r="S8988" s="11"/>
    </row>
    <row r="8989" spans="1:19" s="9" customFormat="1" x14ac:dyDescent="0.25">
      <c r="A8989" s="10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  <c r="Q8989" s="11"/>
      <c r="R8989" s="11"/>
      <c r="S8989" s="11"/>
    </row>
    <row r="8990" spans="1:19" s="9" customFormat="1" x14ac:dyDescent="0.25">
      <c r="A8990" s="10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  <c r="Q8990" s="11"/>
      <c r="R8990" s="11"/>
      <c r="S8990" s="11"/>
    </row>
    <row r="8991" spans="1:19" s="9" customFormat="1" x14ac:dyDescent="0.25">
      <c r="A8991" s="10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  <c r="Q8991" s="11"/>
      <c r="R8991" s="11"/>
      <c r="S8991" s="11"/>
    </row>
    <row r="8992" spans="1:19" s="9" customFormat="1" x14ac:dyDescent="0.25">
      <c r="A8992" s="10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  <c r="Q8992" s="11"/>
      <c r="R8992" s="11"/>
      <c r="S8992" s="11"/>
    </row>
    <row r="8993" spans="1:19" s="9" customFormat="1" x14ac:dyDescent="0.25">
      <c r="A8993" s="10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  <c r="Q8993" s="11"/>
      <c r="R8993" s="11"/>
      <c r="S8993" s="11"/>
    </row>
    <row r="8994" spans="1:19" s="9" customFormat="1" x14ac:dyDescent="0.25">
      <c r="A8994" s="10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  <c r="Q8994" s="11"/>
      <c r="R8994" s="11"/>
      <c r="S8994" s="11"/>
    </row>
    <row r="8995" spans="1:19" s="9" customFormat="1" x14ac:dyDescent="0.25">
      <c r="A8995" s="10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  <c r="Q8995" s="11"/>
      <c r="R8995" s="11"/>
      <c r="S8995" s="11"/>
    </row>
    <row r="8996" spans="1:19" s="9" customFormat="1" x14ac:dyDescent="0.25">
      <c r="A8996" s="10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  <c r="Q8996" s="11"/>
      <c r="R8996" s="11"/>
      <c r="S8996" s="11"/>
    </row>
    <row r="8997" spans="1:19" s="9" customFormat="1" x14ac:dyDescent="0.25">
      <c r="A8997" s="10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  <c r="Q8997" s="11"/>
      <c r="R8997" s="11"/>
      <c r="S8997" s="11"/>
    </row>
    <row r="8998" spans="1:19" s="9" customFormat="1" x14ac:dyDescent="0.25">
      <c r="A8998" s="10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  <c r="Q8998" s="11"/>
      <c r="R8998" s="11"/>
      <c r="S8998" s="11"/>
    </row>
    <row r="8999" spans="1:19" s="9" customFormat="1" x14ac:dyDescent="0.25">
      <c r="A8999" s="10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  <c r="Q8999" s="11"/>
      <c r="R8999" s="11"/>
      <c r="S8999" s="11"/>
    </row>
    <row r="9000" spans="1:19" s="9" customFormat="1" x14ac:dyDescent="0.25">
      <c r="A9000" s="10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  <c r="Q9000" s="11"/>
      <c r="R9000" s="11"/>
      <c r="S9000" s="11"/>
    </row>
    <row r="9001" spans="1:19" s="9" customFormat="1" x14ac:dyDescent="0.25">
      <c r="A9001" s="10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  <c r="Q9001" s="11"/>
      <c r="R9001" s="11"/>
      <c r="S9001" s="11"/>
    </row>
    <row r="9002" spans="1:19" s="9" customFormat="1" x14ac:dyDescent="0.25">
      <c r="A9002" s="10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  <c r="Q9002" s="11"/>
      <c r="R9002" s="11"/>
      <c r="S9002" s="11"/>
    </row>
    <row r="9003" spans="1:19" s="9" customFormat="1" x14ac:dyDescent="0.25">
      <c r="A9003" s="10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  <c r="Q9003" s="11"/>
      <c r="R9003" s="11"/>
      <c r="S9003" s="11"/>
    </row>
    <row r="9004" spans="1:19" s="9" customFormat="1" x14ac:dyDescent="0.25">
      <c r="A9004" s="10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  <c r="Q9004" s="11"/>
      <c r="R9004" s="11"/>
      <c r="S9004" s="11"/>
    </row>
    <row r="9005" spans="1:19" s="9" customFormat="1" x14ac:dyDescent="0.25">
      <c r="A9005" s="10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  <c r="Q9005" s="11"/>
      <c r="R9005" s="11"/>
      <c r="S9005" s="11"/>
    </row>
    <row r="9006" spans="1:19" s="9" customFormat="1" x14ac:dyDescent="0.25">
      <c r="A9006" s="10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  <c r="Q9006" s="11"/>
      <c r="R9006" s="11"/>
      <c r="S9006" s="11"/>
    </row>
    <row r="9007" spans="1:19" s="9" customFormat="1" x14ac:dyDescent="0.25">
      <c r="A9007" s="10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  <c r="Q9007" s="11"/>
      <c r="R9007" s="11"/>
      <c r="S9007" s="11"/>
    </row>
    <row r="9008" spans="1:19" s="9" customFormat="1" x14ac:dyDescent="0.25">
      <c r="A9008" s="10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  <c r="Q9008" s="11"/>
      <c r="R9008" s="11"/>
      <c r="S9008" s="11"/>
    </row>
    <row r="9009" spans="1:19" s="9" customFormat="1" x14ac:dyDescent="0.25">
      <c r="A9009" s="10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  <c r="Q9009" s="11"/>
      <c r="R9009" s="11"/>
      <c r="S9009" s="11"/>
    </row>
    <row r="9010" spans="1:19" s="9" customFormat="1" x14ac:dyDescent="0.25">
      <c r="A9010" s="10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  <c r="Q9010" s="11"/>
      <c r="R9010" s="11"/>
      <c r="S9010" s="11"/>
    </row>
    <row r="9011" spans="1:19" s="9" customFormat="1" x14ac:dyDescent="0.25">
      <c r="A9011" s="10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  <c r="Q9011" s="11"/>
      <c r="R9011" s="11"/>
      <c r="S9011" s="11"/>
    </row>
    <row r="9012" spans="1:19" s="9" customFormat="1" x14ac:dyDescent="0.25">
      <c r="A9012" s="10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  <c r="Q9012" s="11"/>
      <c r="R9012" s="11"/>
      <c r="S9012" s="11"/>
    </row>
    <row r="9013" spans="1:19" s="9" customFormat="1" x14ac:dyDescent="0.25">
      <c r="A9013" s="10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  <c r="Q9013" s="11"/>
      <c r="R9013" s="11"/>
      <c r="S9013" s="11"/>
    </row>
    <row r="9014" spans="1:19" s="9" customFormat="1" x14ac:dyDescent="0.25">
      <c r="A9014" s="10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  <c r="Q9014" s="11"/>
      <c r="R9014" s="11"/>
      <c r="S9014" s="11"/>
    </row>
    <row r="9015" spans="1:19" s="9" customFormat="1" x14ac:dyDescent="0.25">
      <c r="A9015" s="10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  <c r="Q9015" s="11"/>
      <c r="R9015" s="11"/>
      <c r="S9015" s="11"/>
    </row>
    <row r="9016" spans="1:19" s="9" customFormat="1" x14ac:dyDescent="0.25">
      <c r="A9016" s="10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  <c r="Q9016" s="11"/>
      <c r="R9016" s="11"/>
      <c r="S9016" s="11"/>
    </row>
    <row r="9017" spans="1:19" s="9" customFormat="1" x14ac:dyDescent="0.25">
      <c r="A9017" s="10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  <c r="Q9017" s="11"/>
      <c r="R9017" s="11"/>
      <c r="S9017" s="11"/>
    </row>
    <row r="9018" spans="1:19" s="9" customFormat="1" x14ac:dyDescent="0.25">
      <c r="A9018" s="10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  <c r="Q9018" s="11"/>
      <c r="R9018" s="11"/>
      <c r="S9018" s="11"/>
    </row>
    <row r="9019" spans="1:19" s="9" customFormat="1" x14ac:dyDescent="0.25">
      <c r="A9019" s="10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  <c r="Q9019" s="11"/>
      <c r="R9019" s="11"/>
      <c r="S9019" s="11"/>
    </row>
    <row r="9020" spans="1:19" s="9" customFormat="1" x14ac:dyDescent="0.25">
      <c r="A9020" s="10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  <c r="Q9020" s="11"/>
      <c r="R9020" s="11"/>
      <c r="S9020" s="11"/>
    </row>
    <row r="9021" spans="1:19" s="9" customFormat="1" x14ac:dyDescent="0.25">
      <c r="A9021" s="10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  <c r="Q9021" s="11"/>
      <c r="R9021" s="11"/>
      <c r="S9021" s="11"/>
    </row>
    <row r="9022" spans="1:19" s="9" customFormat="1" x14ac:dyDescent="0.25">
      <c r="A9022" s="10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  <c r="Q9022" s="11"/>
      <c r="R9022" s="11"/>
      <c r="S9022" s="11"/>
    </row>
    <row r="9023" spans="1:19" s="9" customFormat="1" x14ac:dyDescent="0.25">
      <c r="A9023" s="10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  <c r="Q9023" s="11"/>
      <c r="R9023" s="11"/>
      <c r="S9023" s="11"/>
    </row>
    <row r="9024" spans="1:19" s="9" customFormat="1" x14ac:dyDescent="0.25">
      <c r="A9024" s="10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  <c r="Q9024" s="11"/>
      <c r="R9024" s="11"/>
      <c r="S9024" s="11"/>
    </row>
    <row r="9025" spans="1:19" s="9" customFormat="1" x14ac:dyDescent="0.25">
      <c r="A9025" s="10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  <c r="Q9025" s="11"/>
      <c r="R9025" s="11"/>
      <c r="S9025" s="11"/>
    </row>
    <row r="9026" spans="1:19" s="9" customFormat="1" x14ac:dyDescent="0.25">
      <c r="A9026" s="10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  <c r="Q9026" s="11"/>
      <c r="R9026" s="11"/>
      <c r="S9026" s="11"/>
    </row>
    <row r="9027" spans="1:19" s="9" customFormat="1" x14ac:dyDescent="0.25">
      <c r="A9027" s="10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  <c r="Q9027" s="11"/>
      <c r="R9027" s="11"/>
      <c r="S9027" s="11"/>
    </row>
    <row r="9028" spans="1:19" s="9" customFormat="1" x14ac:dyDescent="0.25">
      <c r="A9028" s="10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  <c r="Q9028" s="11"/>
      <c r="R9028" s="11"/>
      <c r="S9028" s="11"/>
    </row>
    <row r="9029" spans="1:19" s="9" customFormat="1" x14ac:dyDescent="0.25">
      <c r="A9029" s="10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  <c r="Q9029" s="11"/>
      <c r="R9029" s="11"/>
      <c r="S9029" s="11"/>
    </row>
    <row r="9030" spans="1:19" s="9" customFormat="1" x14ac:dyDescent="0.25">
      <c r="A9030" s="10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  <c r="Q9030" s="11"/>
      <c r="R9030" s="11"/>
      <c r="S9030" s="11"/>
    </row>
    <row r="9031" spans="1:19" s="9" customFormat="1" x14ac:dyDescent="0.25">
      <c r="A9031" s="10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  <c r="Q9031" s="11"/>
      <c r="R9031" s="11"/>
      <c r="S9031" s="11"/>
    </row>
    <row r="9032" spans="1:19" s="9" customFormat="1" x14ac:dyDescent="0.25">
      <c r="A9032" s="10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  <c r="Q9032" s="11"/>
      <c r="R9032" s="11"/>
      <c r="S9032" s="11"/>
    </row>
    <row r="9033" spans="1:19" s="9" customFormat="1" x14ac:dyDescent="0.25">
      <c r="A9033" s="10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  <c r="Q9033" s="11"/>
      <c r="R9033" s="11"/>
      <c r="S9033" s="11"/>
    </row>
    <row r="9034" spans="1:19" s="9" customFormat="1" x14ac:dyDescent="0.25">
      <c r="A9034" s="10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  <c r="Q9034" s="11"/>
      <c r="R9034" s="11"/>
      <c r="S9034" s="11"/>
    </row>
    <row r="9035" spans="1:19" s="9" customFormat="1" x14ac:dyDescent="0.25">
      <c r="A9035" s="10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  <c r="Q9035" s="11"/>
      <c r="R9035" s="11"/>
      <c r="S9035" s="11"/>
    </row>
    <row r="9036" spans="1:19" s="9" customFormat="1" x14ac:dyDescent="0.25">
      <c r="A9036" s="10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  <c r="Q9036" s="11"/>
      <c r="R9036" s="11"/>
      <c r="S9036" s="11"/>
    </row>
    <row r="9037" spans="1:19" s="9" customFormat="1" x14ac:dyDescent="0.25">
      <c r="A9037" s="10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  <c r="Q9037" s="11"/>
      <c r="R9037" s="11"/>
      <c r="S9037" s="11"/>
    </row>
    <row r="9038" spans="1:19" s="9" customFormat="1" x14ac:dyDescent="0.25">
      <c r="A9038" s="10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  <c r="Q9038" s="11"/>
      <c r="R9038" s="11"/>
      <c r="S9038" s="11"/>
    </row>
    <row r="9039" spans="1:19" s="9" customFormat="1" x14ac:dyDescent="0.25">
      <c r="A9039" s="10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  <c r="Q9039" s="11"/>
      <c r="R9039" s="11"/>
      <c r="S9039" s="11"/>
    </row>
    <row r="9040" spans="1:19" s="9" customFormat="1" x14ac:dyDescent="0.25">
      <c r="A9040" s="10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  <c r="Q9040" s="11"/>
      <c r="R9040" s="11"/>
      <c r="S9040" s="11"/>
    </row>
    <row r="9041" spans="1:19" s="9" customFormat="1" x14ac:dyDescent="0.25">
      <c r="A9041" s="10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  <c r="Q9041" s="11"/>
      <c r="R9041" s="11"/>
      <c r="S9041" s="11"/>
    </row>
    <row r="9042" spans="1:19" s="9" customFormat="1" x14ac:dyDescent="0.25">
      <c r="A9042" s="10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  <c r="Q9042" s="11"/>
      <c r="R9042" s="11"/>
      <c r="S9042" s="11"/>
    </row>
    <row r="9043" spans="1:19" s="9" customFormat="1" x14ac:dyDescent="0.25">
      <c r="A9043" s="10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  <c r="Q9043" s="11"/>
      <c r="R9043" s="11"/>
      <c r="S9043" s="11"/>
    </row>
    <row r="9044" spans="1:19" s="9" customFormat="1" x14ac:dyDescent="0.25">
      <c r="A9044" s="10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  <c r="Q9044" s="11"/>
      <c r="R9044" s="11"/>
      <c r="S9044" s="11"/>
    </row>
    <row r="9045" spans="1:19" s="9" customFormat="1" x14ac:dyDescent="0.25">
      <c r="A9045" s="10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  <c r="Q9045" s="11"/>
      <c r="R9045" s="11"/>
      <c r="S9045" s="11"/>
    </row>
    <row r="9046" spans="1:19" s="9" customFormat="1" x14ac:dyDescent="0.25">
      <c r="A9046" s="10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  <c r="Q9046" s="11"/>
      <c r="R9046" s="11"/>
      <c r="S9046" s="11"/>
    </row>
    <row r="9047" spans="1:19" s="9" customFormat="1" x14ac:dyDescent="0.25">
      <c r="A9047" s="10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  <c r="Q9047" s="11"/>
      <c r="R9047" s="11"/>
      <c r="S9047" s="11"/>
    </row>
    <row r="9048" spans="1:19" s="9" customFormat="1" x14ac:dyDescent="0.25">
      <c r="A9048" s="10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  <c r="Q9048" s="11"/>
      <c r="R9048" s="11"/>
      <c r="S9048" s="11"/>
    </row>
    <row r="9049" spans="1:19" s="9" customFormat="1" x14ac:dyDescent="0.25">
      <c r="A9049" s="10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  <c r="Q9049" s="11"/>
      <c r="R9049" s="11"/>
      <c r="S9049" s="11"/>
    </row>
    <row r="9050" spans="1:19" s="9" customFormat="1" x14ac:dyDescent="0.25">
      <c r="A9050" s="10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  <c r="Q9050" s="11"/>
      <c r="R9050" s="11"/>
      <c r="S9050" s="11"/>
    </row>
    <row r="9051" spans="1:19" s="9" customFormat="1" x14ac:dyDescent="0.25">
      <c r="A9051" s="10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  <c r="Q9051" s="11"/>
      <c r="R9051" s="11"/>
      <c r="S9051" s="11"/>
    </row>
    <row r="9052" spans="1:19" s="9" customFormat="1" x14ac:dyDescent="0.25">
      <c r="A9052" s="10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  <c r="Q9052" s="11"/>
      <c r="R9052" s="11"/>
      <c r="S9052" s="11"/>
    </row>
    <row r="9053" spans="1:19" s="9" customFormat="1" x14ac:dyDescent="0.25">
      <c r="A9053" s="10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  <c r="Q9053" s="11"/>
      <c r="R9053" s="11"/>
      <c r="S9053" s="11"/>
    </row>
    <row r="9054" spans="1:19" s="9" customFormat="1" x14ac:dyDescent="0.25">
      <c r="A9054" s="10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  <c r="Q9054" s="11"/>
      <c r="R9054" s="11"/>
      <c r="S9054" s="11"/>
    </row>
    <row r="9055" spans="1:19" s="9" customFormat="1" x14ac:dyDescent="0.25">
      <c r="A9055" s="10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  <c r="Q9055" s="11"/>
      <c r="R9055" s="11"/>
      <c r="S9055" s="11"/>
    </row>
    <row r="9056" spans="1:19" s="9" customFormat="1" x14ac:dyDescent="0.25">
      <c r="A9056" s="10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  <c r="Q9056" s="11"/>
      <c r="R9056" s="11"/>
      <c r="S9056" s="11"/>
    </row>
    <row r="9057" spans="1:19" s="9" customFormat="1" x14ac:dyDescent="0.25">
      <c r="A9057" s="10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  <c r="Q9057" s="11"/>
      <c r="R9057" s="11"/>
      <c r="S9057" s="11"/>
    </row>
    <row r="9058" spans="1:19" s="9" customFormat="1" x14ac:dyDescent="0.25">
      <c r="A9058" s="10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  <c r="Q9058" s="11"/>
      <c r="R9058" s="11"/>
      <c r="S9058" s="11"/>
    </row>
    <row r="9059" spans="1:19" s="9" customFormat="1" x14ac:dyDescent="0.25">
      <c r="A9059" s="10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  <c r="Q9059" s="11"/>
      <c r="R9059" s="11"/>
      <c r="S9059" s="11"/>
    </row>
    <row r="9060" spans="1:19" s="9" customFormat="1" x14ac:dyDescent="0.25">
      <c r="A9060" s="10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  <c r="Q9060" s="11"/>
      <c r="R9060" s="11"/>
      <c r="S9060" s="11"/>
    </row>
    <row r="9061" spans="1:19" s="9" customFormat="1" x14ac:dyDescent="0.25">
      <c r="A9061" s="10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  <c r="Q9061" s="11"/>
      <c r="R9061" s="11"/>
      <c r="S9061" s="11"/>
    </row>
    <row r="9062" spans="1:19" s="9" customFormat="1" x14ac:dyDescent="0.25">
      <c r="A9062" s="10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  <c r="Q9062" s="11"/>
      <c r="R9062" s="11"/>
      <c r="S9062" s="11"/>
    </row>
    <row r="9063" spans="1:19" s="9" customFormat="1" x14ac:dyDescent="0.25">
      <c r="A9063" s="10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  <c r="Q9063" s="11"/>
      <c r="R9063" s="11"/>
      <c r="S9063" s="11"/>
    </row>
    <row r="9064" spans="1:19" s="9" customFormat="1" x14ac:dyDescent="0.25">
      <c r="A9064" s="10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  <c r="Q9064" s="11"/>
      <c r="R9064" s="11"/>
      <c r="S9064" s="11"/>
    </row>
    <row r="9065" spans="1:19" s="9" customFormat="1" x14ac:dyDescent="0.25">
      <c r="A9065" s="10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  <c r="Q9065" s="11"/>
      <c r="R9065" s="11"/>
      <c r="S9065" s="11"/>
    </row>
    <row r="9066" spans="1:19" s="9" customFormat="1" x14ac:dyDescent="0.25">
      <c r="A9066" s="10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  <c r="Q9066" s="11"/>
      <c r="R9066" s="11"/>
      <c r="S9066" s="11"/>
    </row>
    <row r="9067" spans="1:19" s="9" customFormat="1" x14ac:dyDescent="0.25">
      <c r="A9067" s="10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  <c r="Q9067" s="11"/>
      <c r="R9067" s="11"/>
      <c r="S9067" s="11"/>
    </row>
    <row r="9068" spans="1:19" s="9" customFormat="1" x14ac:dyDescent="0.25">
      <c r="A9068" s="10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  <c r="Q9068" s="11"/>
      <c r="R9068" s="11"/>
      <c r="S9068" s="11"/>
    </row>
    <row r="9069" spans="1:19" s="9" customFormat="1" x14ac:dyDescent="0.25">
      <c r="A9069" s="10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  <c r="Q9069" s="11"/>
      <c r="R9069" s="11"/>
      <c r="S9069" s="11"/>
    </row>
    <row r="9070" spans="1:19" s="9" customFormat="1" x14ac:dyDescent="0.25">
      <c r="A9070" s="10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  <c r="Q9070" s="11"/>
      <c r="R9070" s="11"/>
      <c r="S9070" s="11"/>
    </row>
    <row r="9071" spans="1:19" s="9" customFormat="1" x14ac:dyDescent="0.25">
      <c r="A9071" s="10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  <c r="Q9071" s="11"/>
      <c r="R9071" s="11"/>
      <c r="S9071" s="11"/>
    </row>
    <row r="9072" spans="1:19" s="9" customFormat="1" x14ac:dyDescent="0.25">
      <c r="A9072" s="10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  <c r="Q9072" s="11"/>
      <c r="R9072" s="11"/>
      <c r="S9072" s="11"/>
    </row>
    <row r="9073" spans="1:19" s="9" customFormat="1" x14ac:dyDescent="0.25">
      <c r="A9073" s="10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  <c r="Q9073" s="11"/>
      <c r="R9073" s="11"/>
      <c r="S9073" s="11"/>
    </row>
    <row r="9074" spans="1:19" s="9" customFormat="1" x14ac:dyDescent="0.25">
      <c r="A9074" s="10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  <c r="Q9074" s="11"/>
      <c r="R9074" s="11"/>
      <c r="S9074" s="11"/>
    </row>
    <row r="9075" spans="1:19" s="9" customFormat="1" x14ac:dyDescent="0.25">
      <c r="A9075" s="10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  <c r="Q9075" s="11"/>
      <c r="R9075" s="11"/>
      <c r="S9075" s="11"/>
    </row>
    <row r="9076" spans="1:19" s="9" customFormat="1" x14ac:dyDescent="0.25">
      <c r="A9076" s="10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  <c r="Q9076" s="11"/>
      <c r="R9076" s="11"/>
      <c r="S9076" s="11"/>
    </row>
    <row r="9077" spans="1:19" s="9" customFormat="1" x14ac:dyDescent="0.25">
      <c r="A9077" s="10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  <c r="Q9077" s="11"/>
      <c r="R9077" s="11"/>
      <c r="S9077" s="11"/>
    </row>
    <row r="9078" spans="1:19" s="9" customFormat="1" x14ac:dyDescent="0.25">
      <c r="A9078" s="10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  <c r="Q9078" s="11"/>
      <c r="R9078" s="11"/>
      <c r="S9078" s="11"/>
    </row>
    <row r="9079" spans="1:19" s="9" customFormat="1" x14ac:dyDescent="0.25">
      <c r="A9079" s="10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  <c r="Q9079" s="11"/>
      <c r="R9079" s="11"/>
      <c r="S9079" s="11"/>
    </row>
    <row r="9080" spans="1:19" s="9" customFormat="1" x14ac:dyDescent="0.25">
      <c r="A9080" s="10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  <c r="Q9080" s="11"/>
      <c r="R9080" s="11"/>
      <c r="S9080" s="11"/>
    </row>
    <row r="9081" spans="1:19" s="9" customFormat="1" x14ac:dyDescent="0.25">
      <c r="A9081" s="10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  <c r="Q9081" s="11"/>
      <c r="R9081" s="11"/>
      <c r="S9081" s="11"/>
    </row>
    <row r="9082" spans="1:19" s="9" customFormat="1" x14ac:dyDescent="0.25">
      <c r="A9082" s="10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  <c r="Q9082" s="11"/>
      <c r="R9082" s="11"/>
      <c r="S9082" s="11"/>
    </row>
    <row r="9083" spans="1:19" s="9" customFormat="1" x14ac:dyDescent="0.25">
      <c r="A9083" s="10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  <c r="Q9083" s="11"/>
      <c r="R9083" s="11"/>
      <c r="S9083" s="11"/>
    </row>
    <row r="9084" spans="1:19" s="9" customFormat="1" x14ac:dyDescent="0.25">
      <c r="A9084" s="10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  <c r="Q9084" s="11"/>
      <c r="R9084" s="11"/>
      <c r="S9084" s="11"/>
    </row>
    <row r="9085" spans="1:19" s="9" customFormat="1" x14ac:dyDescent="0.25">
      <c r="A9085" s="10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  <c r="Q9085" s="11"/>
      <c r="R9085" s="11"/>
      <c r="S9085" s="11"/>
    </row>
    <row r="9086" spans="1:19" s="9" customFormat="1" x14ac:dyDescent="0.25">
      <c r="A9086" s="10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  <c r="Q9086" s="11"/>
      <c r="R9086" s="11"/>
      <c r="S9086" s="11"/>
    </row>
    <row r="9087" spans="1:19" s="9" customFormat="1" x14ac:dyDescent="0.25">
      <c r="A9087" s="10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  <c r="Q9087" s="11"/>
      <c r="R9087" s="11"/>
      <c r="S9087" s="11"/>
    </row>
    <row r="9088" spans="1:19" s="9" customFormat="1" x14ac:dyDescent="0.25">
      <c r="A9088" s="10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  <c r="Q9088" s="11"/>
      <c r="R9088" s="11"/>
      <c r="S9088" s="11"/>
    </row>
    <row r="9089" spans="1:19" s="9" customFormat="1" x14ac:dyDescent="0.25">
      <c r="A9089" s="10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  <c r="Q9089" s="11"/>
      <c r="R9089" s="11"/>
      <c r="S9089" s="11"/>
    </row>
    <row r="9090" spans="1:19" s="9" customFormat="1" x14ac:dyDescent="0.25">
      <c r="A9090" s="10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  <c r="Q9090" s="11"/>
      <c r="R9090" s="11"/>
      <c r="S9090" s="11"/>
    </row>
    <row r="9091" spans="1:19" s="9" customFormat="1" x14ac:dyDescent="0.25">
      <c r="A9091" s="10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  <c r="Q9091" s="11"/>
      <c r="R9091" s="11"/>
      <c r="S9091" s="11"/>
    </row>
    <row r="9092" spans="1:19" s="9" customFormat="1" x14ac:dyDescent="0.25">
      <c r="A9092" s="10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  <c r="Q9092" s="11"/>
      <c r="R9092" s="11"/>
      <c r="S9092" s="11"/>
    </row>
    <row r="9093" spans="1:19" s="9" customFormat="1" x14ac:dyDescent="0.25">
      <c r="A9093" s="10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  <c r="Q9093" s="11"/>
      <c r="R9093" s="11"/>
      <c r="S9093" s="11"/>
    </row>
    <row r="9094" spans="1:19" s="9" customFormat="1" x14ac:dyDescent="0.25">
      <c r="A9094" s="10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  <c r="Q9094" s="11"/>
      <c r="R9094" s="11"/>
      <c r="S9094" s="11"/>
    </row>
    <row r="9095" spans="1:19" s="9" customFormat="1" x14ac:dyDescent="0.25">
      <c r="A9095" s="10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  <c r="Q9095" s="11"/>
      <c r="R9095" s="11"/>
      <c r="S9095" s="11"/>
    </row>
    <row r="9096" spans="1:19" s="9" customFormat="1" x14ac:dyDescent="0.25">
      <c r="A9096" s="10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  <c r="Q9096" s="11"/>
      <c r="R9096" s="11"/>
      <c r="S9096" s="11"/>
    </row>
    <row r="9097" spans="1:19" s="9" customFormat="1" x14ac:dyDescent="0.25">
      <c r="A9097" s="10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  <c r="Q9097" s="11"/>
      <c r="R9097" s="11"/>
      <c r="S9097" s="11"/>
    </row>
    <row r="9098" spans="1:19" s="9" customFormat="1" x14ac:dyDescent="0.25">
      <c r="A9098" s="10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  <c r="Q9098" s="11"/>
      <c r="R9098" s="11"/>
      <c r="S9098" s="11"/>
    </row>
    <row r="9099" spans="1:19" s="9" customFormat="1" x14ac:dyDescent="0.25">
      <c r="A9099" s="10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  <c r="Q9099" s="11"/>
      <c r="R9099" s="11"/>
      <c r="S9099" s="11"/>
    </row>
    <row r="9100" spans="1:19" s="9" customFormat="1" x14ac:dyDescent="0.25">
      <c r="A9100" s="10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  <c r="Q9100" s="11"/>
      <c r="R9100" s="11"/>
      <c r="S9100" s="11"/>
    </row>
    <row r="9101" spans="1:19" s="9" customFormat="1" x14ac:dyDescent="0.25">
      <c r="A9101" s="10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  <c r="Q9101" s="11"/>
      <c r="R9101" s="11"/>
      <c r="S9101" s="11"/>
    </row>
    <row r="9102" spans="1:19" s="9" customFormat="1" x14ac:dyDescent="0.25">
      <c r="A9102" s="10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  <c r="Q9102" s="11"/>
      <c r="R9102" s="11"/>
      <c r="S9102" s="11"/>
    </row>
    <row r="9103" spans="1:19" s="9" customFormat="1" x14ac:dyDescent="0.25">
      <c r="A9103" s="10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  <c r="Q9103" s="11"/>
      <c r="R9103" s="11"/>
      <c r="S9103" s="11"/>
    </row>
    <row r="9104" spans="1:19" s="9" customFormat="1" x14ac:dyDescent="0.25">
      <c r="A9104" s="10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  <c r="Q9104" s="11"/>
      <c r="R9104" s="11"/>
      <c r="S9104" s="11"/>
    </row>
    <row r="9105" spans="1:19" s="9" customFormat="1" x14ac:dyDescent="0.25">
      <c r="A9105" s="10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  <c r="Q9105" s="11"/>
      <c r="R9105" s="11"/>
      <c r="S9105" s="11"/>
    </row>
    <row r="9106" spans="1:19" s="9" customFormat="1" x14ac:dyDescent="0.25">
      <c r="A9106" s="10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  <c r="Q9106" s="11"/>
      <c r="R9106" s="11"/>
      <c r="S9106" s="11"/>
    </row>
    <row r="9107" spans="1:19" s="9" customFormat="1" x14ac:dyDescent="0.25">
      <c r="A9107" s="10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  <c r="Q9107" s="11"/>
      <c r="R9107" s="11"/>
      <c r="S9107" s="11"/>
    </row>
    <row r="9108" spans="1:19" s="9" customFormat="1" x14ac:dyDescent="0.25">
      <c r="A9108" s="10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  <c r="Q9108" s="11"/>
      <c r="R9108" s="11"/>
      <c r="S9108" s="11"/>
    </row>
    <row r="9109" spans="1:19" s="9" customFormat="1" x14ac:dyDescent="0.25">
      <c r="A9109" s="10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  <c r="Q9109" s="11"/>
      <c r="R9109" s="11"/>
      <c r="S9109" s="11"/>
    </row>
    <row r="9110" spans="1:19" s="9" customFormat="1" x14ac:dyDescent="0.25">
      <c r="A9110" s="10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  <c r="Q9110" s="11"/>
      <c r="R9110" s="11"/>
      <c r="S9110" s="11"/>
    </row>
    <row r="9111" spans="1:19" s="9" customFormat="1" x14ac:dyDescent="0.25">
      <c r="A9111" s="10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  <c r="Q9111" s="11"/>
      <c r="R9111" s="11"/>
      <c r="S9111" s="11"/>
    </row>
    <row r="9112" spans="1:19" s="9" customFormat="1" x14ac:dyDescent="0.25">
      <c r="A9112" s="10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  <c r="Q9112" s="11"/>
      <c r="R9112" s="11"/>
      <c r="S9112" s="11"/>
    </row>
    <row r="9113" spans="1:19" s="9" customFormat="1" x14ac:dyDescent="0.25">
      <c r="A9113" s="10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  <c r="Q9113" s="11"/>
      <c r="R9113" s="11"/>
      <c r="S9113" s="11"/>
    </row>
    <row r="9114" spans="1:19" s="9" customFormat="1" x14ac:dyDescent="0.25">
      <c r="A9114" s="10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  <c r="Q9114" s="11"/>
      <c r="R9114" s="11"/>
      <c r="S9114" s="11"/>
    </row>
    <row r="9115" spans="1:19" s="9" customFormat="1" x14ac:dyDescent="0.25">
      <c r="A9115" s="10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  <c r="Q9115" s="11"/>
      <c r="R9115" s="11"/>
      <c r="S9115" s="11"/>
    </row>
    <row r="9116" spans="1:19" s="9" customFormat="1" x14ac:dyDescent="0.25">
      <c r="A9116" s="10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  <c r="Q9116" s="11"/>
      <c r="R9116" s="11"/>
      <c r="S9116" s="11"/>
    </row>
    <row r="9117" spans="1:19" s="9" customFormat="1" x14ac:dyDescent="0.25">
      <c r="A9117" s="10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  <c r="Q9117" s="11"/>
      <c r="R9117" s="11"/>
      <c r="S9117" s="11"/>
    </row>
    <row r="9118" spans="1:19" s="9" customFormat="1" x14ac:dyDescent="0.25">
      <c r="A9118" s="10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  <c r="Q9118" s="11"/>
      <c r="R9118" s="11"/>
      <c r="S9118" s="11"/>
    </row>
    <row r="9119" spans="1:19" s="9" customFormat="1" x14ac:dyDescent="0.25">
      <c r="A9119" s="10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  <c r="Q9119" s="11"/>
      <c r="R9119" s="11"/>
      <c r="S9119" s="11"/>
    </row>
    <row r="9120" spans="1:19" s="9" customFormat="1" x14ac:dyDescent="0.25">
      <c r="A9120" s="10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  <c r="Q9120" s="11"/>
      <c r="R9120" s="11"/>
      <c r="S9120" s="11"/>
    </row>
    <row r="9121" spans="1:19" s="9" customFormat="1" x14ac:dyDescent="0.25">
      <c r="A9121" s="10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  <c r="Q9121" s="11"/>
      <c r="R9121" s="11"/>
      <c r="S9121" s="11"/>
    </row>
    <row r="9122" spans="1:19" s="9" customFormat="1" x14ac:dyDescent="0.25">
      <c r="A9122" s="10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  <c r="Q9122" s="11"/>
      <c r="R9122" s="11"/>
      <c r="S9122" s="11"/>
    </row>
    <row r="9123" spans="1:19" s="9" customFormat="1" x14ac:dyDescent="0.25">
      <c r="A9123" s="10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  <c r="Q9123" s="11"/>
      <c r="R9123" s="11"/>
      <c r="S9123" s="11"/>
    </row>
    <row r="9124" spans="1:19" s="9" customFormat="1" x14ac:dyDescent="0.25">
      <c r="A9124" s="10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  <c r="Q9124" s="11"/>
      <c r="R9124" s="11"/>
      <c r="S9124" s="11"/>
    </row>
    <row r="9125" spans="1:19" s="9" customFormat="1" x14ac:dyDescent="0.25">
      <c r="A9125" s="10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  <c r="Q9125" s="11"/>
      <c r="R9125" s="11"/>
      <c r="S9125" s="11"/>
    </row>
    <row r="9126" spans="1:19" s="9" customFormat="1" x14ac:dyDescent="0.25">
      <c r="A9126" s="10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  <c r="Q9126" s="11"/>
      <c r="R9126" s="11"/>
      <c r="S9126" s="11"/>
    </row>
    <row r="9127" spans="1:19" s="9" customFormat="1" x14ac:dyDescent="0.25">
      <c r="A9127" s="10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  <c r="Q9127" s="11"/>
      <c r="R9127" s="11"/>
      <c r="S9127" s="11"/>
    </row>
    <row r="9128" spans="1:19" s="9" customFormat="1" x14ac:dyDescent="0.25">
      <c r="A9128" s="10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  <c r="Q9128" s="11"/>
      <c r="R9128" s="11"/>
      <c r="S9128" s="11"/>
    </row>
    <row r="9129" spans="1:19" s="9" customFormat="1" x14ac:dyDescent="0.25">
      <c r="A9129" s="10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  <c r="Q9129" s="11"/>
      <c r="R9129" s="11"/>
      <c r="S9129" s="11"/>
    </row>
    <row r="9130" spans="1:19" s="9" customFormat="1" x14ac:dyDescent="0.25">
      <c r="A9130" s="10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  <c r="Q9130" s="11"/>
      <c r="R9130" s="11"/>
      <c r="S9130" s="11"/>
    </row>
    <row r="9131" spans="1:19" s="9" customFormat="1" x14ac:dyDescent="0.25">
      <c r="A9131" s="10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  <c r="Q9131" s="11"/>
      <c r="R9131" s="11"/>
      <c r="S9131" s="11"/>
    </row>
    <row r="9132" spans="1:19" s="9" customFormat="1" x14ac:dyDescent="0.25">
      <c r="A9132" s="10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  <c r="Q9132" s="11"/>
      <c r="R9132" s="11"/>
      <c r="S9132" s="11"/>
    </row>
    <row r="9133" spans="1:19" s="9" customFormat="1" x14ac:dyDescent="0.25">
      <c r="A9133" s="10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  <c r="Q9133" s="11"/>
      <c r="R9133" s="11"/>
      <c r="S9133" s="11"/>
    </row>
    <row r="9134" spans="1:19" s="9" customFormat="1" x14ac:dyDescent="0.25">
      <c r="A9134" s="10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  <c r="Q9134" s="11"/>
      <c r="R9134" s="11"/>
      <c r="S9134" s="11"/>
    </row>
    <row r="9135" spans="1:19" s="9" customFormat="1" x14ac:dyDescent="0.25">
      <c r="A9135" s="10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  <c r="Q9135" s="11"/>
      <c r="R9135" s="11"/>
      <c r="S9135" s="11"/>
    </row>
    <row r="9136" spans="1:19" s="9" customFormat="1" x14ac:dyDescent="0.25">
      <c r="A9136" s="10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  <c r="Q9136" s="11"/>
      <c r="R9136" s="11"/>
      <c r="S9136" s="11"/>
    </row>
    <row r="9137" spans="1:19" s="9" customFormat="1" x14ac:dyDescent="0.25">
      <c r="A9137" s="10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  <c r="Q9137" s="11"/>
      <c r="R9137" s="11"/>
      <c r="S9137" s="11"/>
    </row>
    <row r="9138" spans="1:19" s="9" customFormat="1" x14ac:dyDescent="0.25">
      <c r="A9138" s="10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  <c r="Q9138" s="11"/>
      <c r="R9138" s="11"/>
      <c r="S9138" s="11"/>
    </row>
    <row r="9139" spans="1:19" s="9" customFormat="1" x14ac:dyDescent="0.25">
      <c r="A9139" s="10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  <c r="Q9139" s="11"/>
      <c r="R9139" s="11"/>
      <c r="S9139" s="11"/>
    </row>
    <row r="9140" spans="1:19" s="9" customFormat="1" x14ac:dyDescent="0.25">
      <c r="A9140" s="10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  <c r="Q9140" s="11"/>
      <c r="R9140" s="11"/>
      <c r="S9140" s="11"/>
    </row>
    <row r="9141" spans="1:19" s="9" customFormat="1" x14ac:dyDescent="0.25">
      <c r="A9141" s="10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  <c r="Q9141" s="11"/>
      <c r="R9141" s="11"/>
      <c r="S9141" s="11"/>
    </row>
    <row r="9142" spans="1:19" s="9" customFormat="1" x14ac:dyDescent="0.25">
      <c r="A9142" s="10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  <c r="Q9142" s="11"/>
      <c r="R9142" s="11"/>
      <c r="S9142" s="11"/>
    </row>
    <row r="9143" spans="1:19" s="9" customFormat="1" x14ac:dyDescent="0.25">
      <c r="A9143" s="10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  <c r="Q9143" s="11"/>
      <c r="R9143" s="11"/>
      <c r="S9143" s="11"/>
    </row>
    <row r="9144" spans="1:19" s="9" customFormat="1" x14ac:dyDescent="0.25">
      <c r="A9144" s="10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  <c r="Q9144" s="11"/>
      <c r="R9144" s="11"/>
      <c r="S9144" s="11"/>
    </row>
    <row r="9145" spans="1:19" s="9" customFormat="1" x14ac:dyDescent="0.25">
      <c r="A9145" s="10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  <c r="Q9145" s="11"/>
      <c r="R9145" s="11"/>
      <c r="S9145" s="11"/>
    </row>
    <row r="9146" spans="1:19" s="9" customFormat="1" x14ac:dyDescent="0.25">
      <c r="A9146" s="10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  <c r="Q9146" s="11"/>
      <c r="R9146" s="11"/>
      <c r="S9146" s="11"/>
    </row>
    <row r="9147" spans="1:19" s="9" customFormat="1" x14ac:dyDescent="0.25">
      <c r="A9147" s="10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  <c r="Q9147" s="11"/>
      <c r="R9147" s="11"/>
      <c r="S9147" s="11"/>
    </row>
    <row r="9148" spans="1:19" s="9" customFormat="1" x14ac:dyDescent="0.25">
      <c r="A9148" s="10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  <c r="Q9148" s="11"/>
      <c r="R9148" s="11"/>
      <c r="S9148" s="11"/>
    </row>
    <row r="9149" spans="1:19" s="9" customFormat="1" x14ac:dyDescent="0.25">
      <c r="A9149" s="10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  <c r="Q9149" s="11"/>
      <c r="R9149" s="11"/>
      <c r="S9149" s="11"/>
    </row>
    <row r="9150" spans="1:19" s="9" customFormat="1" x14ac:dyDescent="0.25">
      <c r="A9150" s="10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  <c r="Q9150" s="11"/>
      <c r="R9150" s="11"/>
      <c r="S9150" s="11"/>
    </row>
    <row r="9151" spans="1:19" s="9" customFormat="1" x14ac:dyDescent="0.25">
      <c r="A9151" s="10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  <c r="Q9151" s="11"/>
      <c r="R9151" s="11"/>
      <c r="S9151" s="11"/>
    </row>
    <row r="9152" spans="1:19" s="9" customFormat="1" x14ac:dyDescent="0.25">
      <c r="A9152" s="10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  <c r="Q9152" s="11"/>
      <c r="R9152" s="11"/>
      <c r="S9152" s="11"/>
    </row>
    <row r="9153" spans="1:19" s="9" customFormat="1" x14ac:dyDescent="0.25">
      <c r="A9153" s="10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  <c r="Q9153" s="11"/>
      <c r="R9153" s="11"/>
      <c r="S9153" s="11"/>
    </row>
    <row r="9154" spans="1:19" s="9" customFormat="1" x14ac:dyDescent="0.25">
      <c r="A9154" s="10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  <c r="Q9154" s="11"/>
      <c r="R9154" s="11"/>
      <c r="S9154" s="11"/>
    </row>
    <row r="9155" spans="1:19" s="9" customFormat="1" x14ac:dyDescent="0.25">
      <c r="A9155" s="10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  <c r="Q9155" s="11"/>
      <c r="R9155" s="11"/>
      <c r="S9155" s="11"/>
    </row>
    <row r="9156" spans="1:19" s="9" customFormat="1" x14ac:dyDescent="0.25">
      <c r="A9156" s="10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  <c r="Q9156" s="11"/>
      <c r="R9156" s="11"/>
      <c r="S9156" s="11"/>
    </row>
    <row r="9157" spans="1:19" s="9" customFormat="1" x14ac:dyDescent="0.25">
      <c r="A9157" s="10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  <c r="Q9157" s="11"/>
      <c r="R9157" s="11"/>
      <c r="S9157" s="11"/>
    </row>
    <row r="9158" spans="1:19" s="9" customFormat="1" x14ac:dyDescent="0.25">
      <c r="A9158" s="10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  <c r="Q9158" s="11"/>
      <c r="R9158" s="11"/>
      <c r="S9158" s="11"/>
    </row>
    <row r="9159" spans="1:19" s="9" customFormat="1" x14ac:dyDescent="0.25">
      <c r="A9159" s="10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  <c r="Q9159" s="11"/>
      <c r="R9159" s="11"/>
      <c r="S9159" s="11"/>
    </row>
    <row r="9160" spans="1:19" s="9" customFormat="1" x14ac:dyDescent="0.25">
      <c r="A9160" s="10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  <c r="Q9160" s="11"/>
      <c r="R9160" s="11"/>
      <c r="S9160" s="11"/>
    </row>
    <row r="9161" spans="1:19" s="9" customFormat="1" x14ac:dyDescent="0.25">
      <c r="A9161" s="10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  <c r="Q9161" s="11"/>
      <c r="R9161" s="11"/>
      <c r="S9161" s="11"/>
    </row>
    <row r="9162" spans="1:19" s="9" customFormat="1" x14ac:dyDescent="0.25">
      <c r="A9162" s="10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  <c r="Q9162" s="11"/>
      <c r="R9162" s="11"/>
      <c r="S9162" s="11"/>
    </row>
    <row r="9163" spans="1:19" s="9" customFormat="1" x14ac:dyDescent="0.25">
      <c r="A9163" s="10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  <c r="Q9163" s="11"/>
      <c r="R9163" s="11"/>
      <c r="S9163" s="11"/>
    </row>
    <row r="9164" spans="1:19" s="9" customFormat="1" x14ac:dyDescent="0.25">
      <c r="A9164" s="10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  <c r="Q9164" s="11"/>
      <c r="R9164" s="11"/>
      <c r="S9164" s="11"/>
    </row>
    <row r="9165" spans="1:19" s="9" customFormat="1" x14ac:dyDescent="0.25">
      <c r="A9165" s="10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  <c r="Q9165" s="11"/>
      <c r="R9165" s="11"/>
      <c r="S9165" s="11"/>
    </row>
    <row r="9166" spans="1:19" s="9" customFormat="1" x14ac:dyDescent="0.25">
      <c r="A9166" s="10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  <c r="Q9166" s="11"/>
      <c r="R9166" s="11"/>
      <c r="S9166" s="11"/>
    </row>
    <row r="9167" spans="1:19" s="9" customFormat="1" x14ac:dyDescent="0.25">
      <c r="A9167" s="10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  <c r="Q9167" s="11"/>
      <c r="R9167" s="11"/>
      <c r="S9167" s="11"/>
    </row>
    <row r="9168" spans="1:19" s="9" customFormat="1" x14ac:dyDescent="0.25">
      <c r="A9168" s="10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  <c r="Q9168" s="11"/>
      <c r="R9168" s="11"/>
      <c r="S9168" s="11"/>
    </row>
    <row r="9169" spans="1:19" s="9" customFormat="1" x14ac:dyDescent="0.25">
      <c r="A9169" s="10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  <c r="Q9169" s="11"/>
      <c r="R9169" s="11"/>
      <c r="S9169" s="11"/>
    </row>
    <row r="9170" spans="1:19" s="9" customFormat="1" x14ac:dyDescent="0.25">
      <c r="A9170" s="10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  <c r="Q9170" s="11"/>
      <c r="R9170" s="11"/>
      <c r="S9170" s="11"/>
    </row>
    <row r="9171" spans="1:19" s="9" customFormat="1" x14ac:dyDescent="0.25">
      <c r="A9171" s="10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  <c r="Q9171" s="11"/>
      <c r="R9171" s="11"/>
      <c r="S9171" s="11"/>
    </row>
    <row r="9172" spans="1:19" s="9" customFormat="1" x14ac:dyDescent="0.25">
      <c r="A9172" s="10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  <c r="Q9172" s="11"/>
      <c r="R9172" s="11"/>
      <c r="S9172" s="11"/>
    </row>
    <row r="9173" spans="1:19" s="9" customFormat="1" x14ac:dyDescent="0.25">
      <c r="A9173" s="10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  <c r="Q9173" s="11"/>
      <c r="R9173" s="11"/>
      <c r="S9173" s="11"/>
    </row>
    <row r="9174" spans="1:19" s="9" customFormat="1" x14ac:dyDescent="0.25">
      <c r="A9174" s="10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  <c r="Q9174" s="11"/>
      <c r="R9174" s="11"/>
      <c r="S9174" s="11"/>
    </row>
    <row r="9175" spans="1:19" s="9" customFormat="1" x14ac:dyDescent="0.25">
      <c r="A9175" s="10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  <c r="Q9175" s="11"/>
      <c r="R9175" s="11"/>
      <c r="S9175" s="11"/>
    </row>
    <row r="9176" spans="1:19" s="9" customFormat="1" x14ac:dyDescent="0.25">
      <c r="A9176" s="10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  <c r="Q9176" s="11"/>
      <c r="R9176" s="11"/>
      <c r="S9176" s="11"/>
    </row>
    <row r="9177" spans="1:19" s="9" customFormat="1" x14ac:dyDescent="0.25">
      <c r="A9177" s="10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  <c r="Q9177" s="11"/>
      <c r="R9177" s="11"/>
      <c r="S9177" s="11"/>
    </row>
    <row r="9178" spans="1:19" s="9" customFormat="1" x14ac:dyDescent="0.25">
      <c r="A9178" s="10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  <c r="Q9178" s="11"/>
      <c r="R9178" s="11"/>
      <c r="S9178" s="11"/>
    </row>
    <row r="9179" spans="1:19" s="9" customFormat="1" x14ac:dyDescent="0.25">
      <c r="A9179" s="10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  <c r="Q9179" s="11"/>
      <c r="R9179" s="11"/>
      <c r="S9179" s="11"/>
    </row>
    <row r="9180" spans="1:19" s="9" customFormat="1" x14ac:dyDescent="0.25">
      <c r="A9180" s="10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  <c r="Q9180" s="11"/>
      <c r="R9180" s="11"/>
      <c r="S9180" s="11"/>
    </row>
    <row r="9181" spans="1:19" s="9" customFormat="1" x14ac:dyDescent="0.25">
      <c r="A9181" s="10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  <c r="Q9181" s="11"/>
      <c r="R9181" s="11"/>
      <c r="S9181" s="11"/>
    </row>
    <row r="9182" spans="1:19" s="9" customFormat="1" x14ac:dyDescent="0.25">
      <c r="A9182" s="10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  <c r="Q9182" s="11"/>
      <c r="R9182" s="11"/>
      <c r="S9182" s="11"/>
    </row>
    <row r="9183" spans="1:19" s="9" customFormat="1" x14ac:dyDescent="0.25">
      <c r="A9183" s="10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  <c r="Q9183" s="11"/>
      <c r="R9183" s="11"/>
      <c r="S9183" s="11"/>
    </row>
    <row r="9184" spans="1:19" s="9" customFormat="1" x14ac:dyDescent="0.25">
      <c r="A9184" s="10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  <c r="Q9184" s="11"/>
      <c r="R9184" s="11"/>
      <c r="S9184" s="11"/>
    </row>
    <row r="9185" spans="1:19" s="9" customFormat="1" x14ac:dyDescent="0.25">
      <c r="A9185" s="10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  <c r="Q9185" s="11"/>
      <c r="R9185" s="11"/>
      <c r="S9185" s="11"/>
    </row>
    <row r="9186" spans="1:19" s="9" customFormat="1" x14ac:dyDescent="0.25">
      <c r="A9186" s="10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  <c r="Q9186" s="11"/>
      <c r="R9186" s="11"/>
      <c r="S9186" s="11"/>
    </row>
    <row r="9187" spans="1:19" s="9" customFormat="1" x14ac:dyDescent="0.25">
      <c r="A9187" s="10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  <c r="Q9187" s="11"/>
      <c r="R9187" s="11"/>
      <c r="S9187" s="11"/>
    </row>
    <row r="9188" spans="1:19" s="9" customFormat="1" x14ac:dyDescent="0.25">
      <c r="A9188" s="10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  <c r="Q9188" s="11"/>
      <c r="R9188" s="11"/>
      <c r="S9188" s="11"/>
    </row>
    <row r="9189" spans="1:19" s="9" customFormat="1" x14ac:dyDescent="0.25">
      <c r="A9189" s="10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  <c r="Q9189" s="11"/>
      <c r="R9189" s="11"/>
      <c r="S9189" s="11"/>
    </row>
    <row r="9190" spans="1:19" s="9" customFormat="1" x14ac:dyDescent="0.25">
      <c r="A9190" s="10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  <c r="Q9190" s="11"/>
      <c r="R9190" s="11"/>
      <c r="S9190" s="11"/>
    </row>
    <row r="9191" spans="1:19" s="9" customFormat="1" x14ac:dyDescent="0.25">
      <c r="A9191" s="10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  <c r="Q9191" s="11"/>
      <c r="R9191" s="11"/>
      <c r="S9191" s="11"/>
    </row>
    <row r="9192" spans="1:19" s="9" customFormat="1" x14ac:dyDescent="0.25">
      <c r="A9192" s="10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  <c r="Q9192" s="11"/>
      <c r="R9192" s="11"/>
      <c r="S9192" s="11"/>
    </row>
    <row r="9193" spans="1:19" s="9" customFormat="1" x14ac:dyDescent="0.25">
      <c r="A9193" s="10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  <c r="Q9193" s="11"/>
      <c r="R9193" s="11"/>
      <c r="S9193" s="11"/>
    </row>
    <row r="9194" spans="1:19" s="9" customFormat="1" x14ac:dyDescent="0.25">
      <c r="A9194" s="10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  <c r="Q9194" s="11"/>
      <c r="R9194" s="11"/>
      <c r="S9194" s="11"/>
    </row>
    <row r="9195" spans="1:19" s="9" customFormat="1" x14ac:dyDescent="0.25">
      <c r="A9195" s="10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  <c r="Q9195" s="11"/>
      <c r="R9195" s="11"/>
      <c r="S9195" s="11"/>
    </row>
    <row r="9196" spans="1:19" s="9" customFormat="1" x14ac:dyDescent="0.25">
      <c r="A9196" s="10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  <c r="Q9196" s="11"/>
      <c r="R9196" s="11"/>
      <c r="S9196" s="11"/>
    </row>
    <row r="9197" spans="1:19" s="9" customFormat="1" x14ac:dyDescent="0.25">
      <c r="A9197" s="10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  <c r="Q9197" s="11"/>
      <c r="R9197" s="11"/>
      <c r="S9197" s="11"/>
    </row>
    <row r="9198" spans="1:19" s="9" customFormat="1" x14ac:dyDescent="0.25">
      <c r="A9198" s="10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  <c r="Q9198" s="11"/>
      <c r="R9198" s="11"/>
      <c r="S9198" s="11"/>
    </row>
    <row r="9199" spans="1:19" s="9" customFormat="1" x14ac:dyDescent="0.25">
      <c r="A9199" s="10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  <c r="Q9199" s="11"/>
      <c r="R9199" s="11"/>
      <c r="S9199" s="11"/>
    </row>
    <row r="9200" spans="1:19" s="9" customFormat="1" x14ac:dyDescent="0.25">
      <c r="A9200" s="10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  <c r="Q9200" s="11"/>
      <c r="R9200" s="11"/>
      <c r="S9200" s="11"/>
    </row>
    <row r="9201" spans="1:19" s="9" customFormat="1" x14ac:dyDescent="0.25">
      <c r="A9201" s="10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  <c r="Q9201" s="11"/>
      <c r="R9201" s="11"/>
      <c r="S9201" s="11"/>
    </row>
    <row r="9202" spans="1:19" s="9" customFormat="1" x14ac:dyDescent="0.25">
      <c r="A9202" s="10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  <c r="Q9202" s="11"/>
      <c r="R9202" s="11"/>
      <c r="S9202" s="11"/>
    </row>
    <row r="9203" spans="1:19" s="9" customFormat="1" x14ac:dyDescent="0.25">
      <c r="A9203" s="10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  <c r="Q9203" s="11"/>
      <c r="R9203" s="11"/>
      <c r="S9203" s="11"/>
    </row>
    <row r="9204" spans="1:19" s="9" customFormat="1" x14ac:dyDescent="0.25">
      <c r="A9204" s="10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  <c r="Q9204" s="11"/>
      <c r="R9204" s="11"/>
      <c r="S9204" s="11"/>
    </row>
    <row r="9205" spans="1:19" s="9" customFormat="1" x14ac:dyDescent="0.25">
      <c r="A9205" s="10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  <c r="Q9205" s="11"/>
      <c r="R9205" s="11"/>
      <c r="S9205" s="11"/>
    </row>
    <row r="9206" spans="1:19" s="9" customFormat="1" x14ac:dyDescent="0.25">
      <c r="A9206" s="10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  <c r="Q9206" s="11"/>
      <c r="R9206" s="11"/>
      <c r="S9206" s="11"/>
    </row>
    <row r="9207" spans="1:19" s="9" customFormat="1" x14ac:dyDescent="0.25">
      <c r="A9207" s="10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  <c r="Q9207" s="11"/>
      <c r="R9207" s="11"/>
      <c r="S9207" s="11"/>
    </row>
    <row r="9208" spans="1:19" s="9" customFormat="1" x14ac:dyDescent="0.25">
      <c r="A9208" s="10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  <c r="Q9208" s="11"/>
      <c r="R9208" s="11"/>
      <c r="S9208" s="11"/>
    </row>
    <row r="9209" spans="1:19" s="9" customFormat="1" x14ac:dyDescent="0.25">
      <c r="A9209" s="10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  <c r="Q9209" s="11"/>
      <c r="R9209" s="11"/>
      <c r="S9209" s="11"/>
    </row>
    <row r="9210" spans="1:19" s="9" customFormat="1" x14ac:dyDescent="0.25">
      <c r="A9210" s="10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  <c r="Q9210" s="11"/>
      <c r="R9210" s="11"/>
      <c r="S9210" s="11"/>
    </row>
    <row r="9211" spans="1:19" s="9" customFormat="1" x14ac:dyDescent="0.25">
      <c r="A9211" s="10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  <c r="Q9211" s="11"/>
      <c r="R9211" s="11"/>
      <c r="S9211" s="11"/>
    </row>
    <row r="9212" spans="1:19" s="9" customFormat="1" x14ac:dyDescent="0.25">
      <c r="A9212" s="10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  <c r="Q9212" s="11"/>
      <c r="R9212" s="11"/>
      <c r="S9212" s="11"/>
    </row>
    <row r="9213" spans="1:19" s="9" customFormat="1" x14ac:dyDescent="0.25">
      <c r="A9213" s="10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  <c r="Q9213" s="11"/>
      <c r="R9213" s="11"/>
      <c r="S9213" s="11"/>
    </row>
    <row r="9214" spans="1:19" s="9" customFormat="1" x14ac:dyDescent="0.25">
      <c r="A9214" s="10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  <c r="Q9214" s="11"/>
      <c r="R9214" s="11"/>
      <c r="S9214" s="11"/>
    </row>
    <row r="9215" spans="1:19" s="9" customFormat="1" x14ac:dyDescent="0.25">
      <c r="A9215" s="10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  <c r="Q9215" s="11"/>
      <c r="R9215" s="11"/>
      <c r="S9215" s="11"/>
    </row>
    <row r="9216" spans="1:19" s="9" customFormat="1" x14ac:dyDescent="0.25">
      <c r="A9216" s="10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  <c r="Q9216" s="11"/>
      <c r="R9216" s="11"/>
      <c r="S9216" s="11"/>
    </row>
    <row r="9217" spans="1:19" s="9" customFormat="1" x14ac:dyDescent="0.25">
      <c r="A9217" s="10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  <c r="Q9217" s="11"/>
      <c r="R9217" s="11"/>
      <c r="S9217" s="11"/>
    </row>
    <row r="9218" spans="1:19" s="9" customFormat="1" x14ac:dyDescent="0.25">
      <c r="A9218" s="10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  <c r="Q9218" s="11"/>
      <c r="R9218" s="11"/>
      <c r="S9218" s="11"/>
    </row>
    <row r="9219" spans="1:19" s="9" customFormat="1" x14ac:dyDescent="0.25">
      <c r="A9219" s="10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  <c r="Q9219" s="11"/>
      <c r="R9219" s="11"/>
      <c r="S9219" s="11"/>
    </row>
    <row r="9220" spans="1:19" s="9" customFormat="1" x14ac:dyDescent="0.25">
      <c r="A9220" s="10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  <c r="Q9220" s="11"/>
      <c r="R9220" s="11"/>
      <c r="S9220" s="11"/>
    </row>
    <row r="9221" spans="1:19" s="9" customFormat="1" x14ac:dyDescent="0.25">
      <c r="A9221" s="10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  <c r="Q9221" s="11"/>
      <c r="R9221" s="11"/>
      <c r="S9221" s="11"/>
    </row>
    <row r="9222" spans="1:19" s="9" customFormat="1" x14ac:dyDescent="0.25">
      <c r="A9222" s="10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  <c r="Q9222" s="11"/>
      <c r="R9222" s="11"/>
      <c r="S9222" s="11"/>
    </row>
    <row r="9223" spans="1:19" s="9" customFormat="1" x14ac:dyDescent="0.25">
      <c r="A9223" s="10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  <c r="Q9223" s="11"/>
      <c r="R9223" s="11"/>
      <c r="S9223" s="11"/>
    </row>
    <row r="9224" spans="1:19" s="9" customFormat="1" x14ac:dyDescent="0.25">
      <c r="A9224" s="10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  <c r="Q9224" s="11"/>
      <c r="R9224" s="11"/>
      <c r="S9224" s="11"/>
    </row>
    <row r="9225" spans="1:19" s="9" customFormat="1" x14ac:dyDescent="0.25">
      <c r="A9225" s="10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  <c r="Q9225" s="11"/>
      <c r="R9225" s="11"/>
      <c r="S9225" s="11"/>
    </row>
    <row r="9226" spans="1:19" s="9" customFormat="1" x14ac:dyDescent="0.25">
      <c r="A9226" s="10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  <c r="Q9226" s="11"/>
      <c r="R9226" s="11"/>
      <c r="S9226" s="11"/>
    </row>
    <row r="9227" spans="1:19" s="9" customFormat="1" x14ac:dyDescent="0.25">
      <c r="A9227" s="10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  <c r="Q9227" s="11"/>
      <c r="R9227" s="11"/>
      <c r="S9227" s="11"/>
    </row>
    <row r="9228" spans="1:19" s="9" customFormat="1" x14ac:dyDescent="0.25">
      <c r="A9228" s="10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  <c r="Q9228" s="11"/>
      <c r="R9228" s="11"/>
      <c r="S9228" s="11"/>
    </row>
    <row r="9229" spans="1:19" s="9" customFormat="1" x14ac:dyDescent="0.25">
      <c r="A9229" s="10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  <c r="Q9229" s="11"/>
      <c r="R9229" s="11"/>
      <c r="S9229" s="11"/>
    </row>
    <row r="9230" spans="1:19" s="9" customFormat="1" x14ac:dyDescent="0.25">
      <c r="A9230" s="10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  <c r="Q9230" s="11"/>
      <c r="R9230" s="11"/>
      <c r="S9230" s="11"/>
    </row>
    <row r="9231" spans="1:19" s="9" customFormat="1" x14ac:dyDescent="0.25">
      <c r="A9231" s="10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  <c r="Q9231" s="11"/>
      <c r="R9231" s="11"/>
      <c r="S9231" s="11"/>
    </row>
    <row r="9232" spans="1:19" s="9" customFormat="1" x14ac:dyDescent="0.25">
      <c r="A9232" s="10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  <c r="Q9232" s="11"/>
      <c r="R9232" s="11"/>
      <c r="S9232" s="11"/>
    </row>
    <row r="9233" spans="1:19" s="9" customFormat="1" x14ac:dyDescent="0.25">
      <c r="A9233" s="10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  <c r="Q9233" s="11"/>
      <c r="R9233" s="11"/>
      <c r="S9233" s="11"/>
    </row>
    <row r="9234" spans="1:19" s="9" customFormat="1" x14ac:dyDescent="0.25">
      <c r="A9234" s="10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  <c r="Q9234" s="11"/>
      <c r="R9234" s="11"/>
      <c r="S9234" s="11"/>
    </row>
    <row r="9235" spans="1:19" s="9" customFormat="1" x14ac:dyDescent="0.25">
      <c r="A9235" s="10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  <c r="Q9235" s="11"/>
      <c r="R9235" s="11"/>
      <c r="S9235" s="11"/>
    </row>
    <row r="9236" spans="1:19" s="9" customFormat="1" x14ac:dyDescent="0.25">
      <c r="A9236" s="10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  <c r="Q9236" s="11"/>
      <c r="R9236" s="11"/>
      <c r="S9236" s="11"/>
    </row>
    <row r="9237" spans="1:19" s="9" customFormat="1" x14ac:dyDescent="0.25">
      <c r="A9237" s="10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  <c r="Q9237" s="11"/>
      <c r="R9237" s="11"/>
      <c r="S9237" s="11"/>
    </row>
    <row r="9238" spans="1:19" s="9" customFormat="1" x14ac:dyDescent="0.25">
      <c r="A9238" s="10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  <c r="Q9238" s="11"/>
      <c r="R9238" s="11"/>
      <c r="S9238" s="11"/>
    </row>
    <row r="9239" spans="1:19" s="9" customFormat="1" x14ac:dyDescent="0.25">
      <c r="A9239" s="10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  <c r="Q9239" s="11"/>
      <c r="R9239" s="11"/>
      <c r="S9239" s="11"/>
    </row>
    <row r="9240" spans="1:19" s="9" customFormat="1" x14ac:dyDescent="0.25">
      <c r="A9240" s="10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  <c r="Q9240" s="11"/>
      <c r="R9240" s="11"/>
      <c r="S9240" s="11"/>
    </row>
    <row r="9241" spans="1:19" s="9" customFormat="1" x14ac:dyDescent="0.25">
      <c r="A9241" s="10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  <c r="Q9241" s="11"/>
      <c r="R9241" s="11"/>
      <c r="S9241" s="11"/>
    </row>
    <row r="9242" spans="1:19" s="9" customFormat="1" x14ac:dyDescent="0.25">
      <c r="A9242" s="10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  <c r="Q9242" s="11"/>
      <c r="R9242" s="11"/>
      <c r="S9242" s="11"/>
    </row>
    <row r="9243" spans="1:19" s="9" customFormat="1" x14ac:dyDescent="0.25">
      <c r="A9243" s="10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  <c r="Q9243" s="11"/>
      <c r="R9243" s="11"/>
      <c r="S9243" s="11"/>
    </row>
    <row r="9244" spans="1:19" s="9" customFormat="1" x14ac:dyDescent="0.25">
      <c r="A9244" s="10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  <c r="Q9244" s="11"/>
      <c r="R9244" s="11"/>
      <c r="S9244" s="11"/>
    </row>
    <row r="9245" spans="1:19" s="9" customFormat="1" x14ac:dyDescent="0.25">
      <c r="A9245" s="10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  <c r="Q9245" s="11"/>
      <c r="R9245" s="11"/>
      <c r="S9245" s="11"/>
    </row>
    <row r="9246" spans="1:19" s="9" customFormat="1" x14ac:dyDescent="0.25">
      <c r="A9246" s="10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  <c r="Q9246" s="11"/>
      <c r="R9246" s="11"/>
      <c r="S9246" s="11"/>
    </row>
    <row r="9247" spans="1:19" s="9" customFormat="1" x14ac:dyDescent="0.25">
      <c r="A9247" s="10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  <c r="Q9247" s="11"/>
      <c r="R9247" s="11"/>
      <c r="S9247" s="11"/>
    </row>
    <row r="9248" spans="1:19" s="9" customFormat="1" x14ac:dyDescent="0.25">
      <c r="A9248" s="10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  <c r="Q9248" s="11"/>
      <c r="R9248" s="11"/>
      <c r="S9248" s="11"/>
    </row>
    <row r="9249" spans="1:19" s="9" customFormat="1" x14ac:dyDescent="0.25">
      <c r="A9249" s="10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  <c r="Q9249" s="11"/>
      <c r="R9249" s="11"/>
      <c r="S9249" s="11"/>
    </row>
    <row r="9250" spans="1:19" s="9" customFormat="1" x14ac:dyDescent="0.25">
      <c r="A9250" s="10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  <c r="Q9250" s="11"/>
      <c r="R9250" s="11"/>
      <c r="S9250" s="11"/>
    </row>
    <row r="9251" spans="1:19" s="9" customFormat="1" x14ac:dyDescent="0.25">
      <c r="A9251" s="10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  <c r="Q9251" s="11"/>
      <c r="R9251" s="11"/>
      <c r="S9251" s="11"/>
    </row>
    <row r="9252" spans="1:19" s="9" customFormat="1" x14ac:dyDescent="0.25">
      <c r="A9252" s="10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  <c r="Q9252" s="11"/>
      <c r="R9252" s="11"/>
      <c r="S9252" s="11"/>
    </row>
    <row r="9253" spans="1:19" s="9" customFormat="1" x14ac:dyDescent="0.25">
      <c r="A9253" s="10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  <c r="Q9253" s="11"/>
      <c r="R9253" s="11"/>
      <c r="S9253" s="11"/>
    </row>
    <row r="9254" spans="1:19" s="9" customFormat="1" x14ac:dyDescent="0.25">
      <c r="A9254" s="10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  <c r="Q9254" s="11"/>
      <c r="R9254" s="11"/>
      <c r="S9254" s="11"/>
    </row>
    <row r="9255" spans="1:19" s="9" customFormat="1" x14ac:dyDescent="0.25">
      <c r="A9255" s="10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  <c r="Q9255" s="11"/>
      <c r="R9255" s="11"/>
      <c r="S9255" s="11"/>
    </row>
    <row r="9256" spans="1:19" s="9" customFormat="1" x14ac:dyDescent="0.25">
      <c r="A9256" s="10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  <c r="Q9256" s="11"/>
      <c r="R9256" s="11"/>
      <c r="S9256" s="11"/>
    </row>
    <row r="9257" spans="1:19" s="9" customFormat="1" x14ac:dyDescent="0.25">
      <c r="A9257" s="10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  <c r="Q9257" s="11"/>
      <c r="R9257" s="11"/>
      <c r="S9257" s="11"/>
    </row>
    <row r="9258" spans="1:19" s="9" customFormat="1" x14ac:dyDescent="0.25">
      <c r="A9258" s="10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  <c r="Q9258" s="11"/>
      <c r="R9258" s="11"/>
      <c r="S9258" s="11"/>
    </row>
    <row r="9259" spans="1:19" s="9" customFormat="1" x14ac:dyDescent="0.25">
      <c r="A9259" s="10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  <c r="Q9259" s="11"/>
      <c r="R9259" s="11"/>
      <c r="S9259" s="11"/>
    </row>
    <row r="9260" spans="1:19" s="9" customFormat="1" x14ac:dyDescent="0.25">
      <c r="A9260" s="10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  <c r="Q9260" s="11"/>
      <c r="R9260" s="11"/>
      <c r="S9260" s="11"/>
    </row>
    <row r="9261" spans="1:19" s="9" customFormat="1" x14ac:dyDescent="0.25">
      <c r="A9261" s="10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  <c r="Q9261" s="11"/>
      <c r="R9261" s="11"/>
      <c r="S9261" s="11"/>
    </row>
    <row r="9262" spans="1:19" s="9" customFormat="1" x14ac:dyDescent="0.25">
      <c r="A9262" s="10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  <c r="Q9262" s="11"/>
      <c r="R9262" s="11"/>
      <c r="S9262" s="11"/>
    </row>
    <row r="9263" spans="1:19" s="9" customFormat="1" x14ac:dyDescent="0.25">
      <c r="A9263" s="10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  <c r="Q9263" s="11"/>
      <c r="R9263" s="11"/>
      <c r="S9263" s="11"/>
    </row>
    <row r="9264" spans="1:19" s="9" customFormat="1" x14ac:dyDescent="0.25">
      <c r="A9264" s="10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  <c r="Q9264" s="11"/>
      <c r="R9264" s="11"/>
      <c r="S9264" s="11"/>
    </row>
    <row r="9265" spans="1:19" s="9" customFormat="1" x14ac:dyDescent="0.25">
      <c r="A9265" s="10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  <c r="Q9265" s="11"/>
      <c r="R9265" s="11"/>
      <c r="S9265" s="11"/>
    </row>
    <row r="9266" spans="1:19" s="9" customFormat="1" x14ac:dyDescent="0.25">
      <c r="A9266" s="10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  <c r="Q9266" s="11"/>
      <c r="R9266" s="11"/>
      <c r="S9266" s="11"/>
    </row>
    <row r="9267" spans="1:19" s="9" customFormat="1" x14ac:dyDescent="0.25">
      <c r="A9267" s="10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  <c r="Q9267" s="11"/>
      <c r="R9267" s="11"/>
      <c r="S9267" s="11"/>
    </row>
    <row r="9268" spans="1:19" s="9" customFormat="1" x14ac:dyDescent="0.25">
      <c r="A9268" s="10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  <c r="Q9268" s="11"/>
      <c r="R9268" s="11"/>
      <c r="S9268" s="11"/>
    </row>
    <row r="9269" spans="1:19" s="9" customFormat="1" x14ac:dyDescent="0.25">
      <c r="A9269" s="10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  <c r="Q9269" s="11"/>
      <c r="R9269" s="11"/>
      <c r="S9269" s="11"/>
    </row>
    <row r="9270" spans="1:19" s="9" customFormat="1" x14ac:dyDescent="0.25">
      <c r="A9270" s="10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  <c r="Q9270" s="11"/>
      <c r="R9270" s="11"/>
      <c r="S9270" s="11"/>
    </row>
    <row r="9271" spans="1:19" s="9" customFormat="1" x14ac:dyDescent="0.25">
      <c r="A9271" s="10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  <c r="Q9271" s="11"/>
      <c r="R9271" s="11"/>
      <c r="S9271" s="11"/>
    </row>
    <row r="9272" spans="1:19" s="9" customFormat="1" x14ac:dyDescent="0.25">
      <c r="A9272" s="10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  <c r="Q9272" s="11"/>
      <c r="R9272" s="11"/>
      <c r="S9272" s="11"/>
    </row>
    <row r="9273" spans="1:19" s="9" customFormat="1" x14ac:dyDescent="0.25">
      <c r="A9273" s="10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  <c r="Q9273" s="11"/>
      <c r="R9273" s="11"/>
      <c r="S9273" s="11"/>
    </row>
    <row r="9274" spans="1:19" s="9" customFormat="1" x14ac:dyDescent="0.25">
      <c r="A9274" s="10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  <c r="Q9274" s="11"/>
      <c r="R9274" s="11"/>
      <c r="S9274" s="11"/>
    </row>
    <row r="9275" spans="1:19" s="9" customFormat="1" x14ac:dyDescent="0.25">
      <c r="A9275" s="10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  <c r="Q9275" s="11"/>
      <c r="R9275" s="11"/>
      <c r="S9275" s="11"/>
    </row>
    <row r="9276" spans="1:19" s="9" customFormat="1" x14ac:dyDescent="0.25">
      <c r="A9276" s="10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  <c r="Q9276" s="11"/>
      <c r="R9276" s="11"/>
      <c r="S9276" s="11"/>
    </row>
    <row r="9277" spans="1:19" s="9" customFormat="1" x14ac:dyDescent="0.25">
      <c r="A9277" s="10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  <c r="Q9277" s="11"/>
      <c r="R9277" s="11"/>
      <c r="S9277" s="11"/>
    </row>
    <row r="9278" spans="1:19" s="9" customFormat="1" x14ac:dyDescent="0.25">
      <c r="A9278" s="10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  <c r="Q9278" s="11"/>
      <c r="R9278" s="11"/>
      <c r="S9278" s="11"/>
    </row>
    <row r="9279" spans="1:19" s="9" customFormat="1" x14ac:dyDescent="0.25">
      <c r="A9279" s="10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  <c r="Q9279" s="11"/>
      <c r="R9279" s="11"/>
      <c r="S9279" s="11"/>
    </row>
    <row r="9280" spans="1:19" s="9" customFormat="1" x14ac:dyDescent="0.25">
      <c r="A9280" s="10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  <c r="Q9280" s="11"/>
      <c r="R9280" s="11"/>
      <c r="S9280" s="11"/>
    </row>
    <row r="9281" spans="1:19" s="9" customFormat="1" x14ac:dyDescent="0.25">
      <c r="A9281" s="10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  <c r="Q9281" s="11"/>
      <c r="R9281" s="11"/>
      <c r="S9281" s="11"/>
    </row>
    <row r="9282" spans="1:19" s="9" customFormat="1" x14ac:dyDescent="0.25">
      <c r="A9282" s="10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  <c r="Q9282" s="11"/>
      <c r="R9282" s="11"/>
      <c r="S9282" s="11"/>
    </row>
    <row r="9283" spans="1:19" s="9" customFormat="1" x14ac:dyDescent="0.25">
      <c r="A9283" s="10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  <c r="Q9283" s="11"/>
      <c r="R9283" s="11"/>
      <c r="S9283" s="11"/>
    </row>
    <row r="9284" spans="1:19" s="9" customFormat="1" x14ac:dyDescent="0.25">
      <c r="A9284" s="10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  <c r="Q9284" s="11"/>
      <c r="R9284" s="11"/>
      <c r="S9284" s="11"/>
    </row>
    <row r="9285" spans="1:19" s="9" customFormat="1" x14ac:dyDescent="0.25">
      <c r="A9285" s="8"/>
    </row>
    <row r="9286" spans="1:19" s="9" customFormat="1" x14ac:dyDescent="0.25">
      <c r="A9286" s="8"/>
    </row>
    <row r="9287" spans="1:19" s="9" customFormat="1" x14ac:dyDescent="0.25">
      <c r="A9287" s="8"/>
    </row>
    <row r="9288" spans="1:19" s="9" customFormat="1" x14ac:dyDescent="0.25">
      <c r="A9288" s="8"/>
    </row>
    <row r="9289" spans="1:19" s="9" customFormat="1" x14ac:dyDescent="0.25">
      <c r="A9289" s="8"/>
    </row>
    <row r="9290" spans="1:19" s="9" customFormat="1" x14ac:dyDescent="0.25">
      <c r="A9290" s="8"/>
    </row>
    <row r="9291" spans="1:19" s="9" customFormat="1" x14ac:dyDescent="0.25">
      <c r="A9291" s="8"/>
    </row>
    <row r="9292" spans="1:19" s="9" customFormat="1" x14ac:dyDescent="0.25">
      <c r="A9292" s="8"/>
    </row>
    <row r="9293" spans="1:19" s="9" customFormat="1" x14ac:dyDescent="0.25">
      <c r="A9293" s="8"/>
    </row>
    <row r="9294" spans="1:19" s="9" customFormat="1" x14ac:dyDescent="0.25">
      <c r="A9294" s="8"/>
    </row>
    <row r="9295" spans="1:19" s="9" customFormat="1" x14ac:dyDescent="0.25">
      <c r="A9295" s="8"/>
    </row>
    <row r="9296" spans="1:19" s="9" customFormat="1" x14ac:dyDescent="0.25">
      <c r="A9296" s="8"/>
    </row>
    <row r="9297" spans="1:1" s="9" customFormat="1" x14ac:dyDescent="0.25">
      <c r="A9297" s="8"/>
    </row>
    <row r="9298" spans="1:1" s="9" customFormat="1" x14ac:dyDescent="0.25">
      <c r="A9298" s="8"/>
    </row>
    <row r="9299" spans="1:1" s="9" customFormat="1" x14ac:dyDescent="0.25">
      <c r="A9299" s="8"/>
    </row>
    <row r="9300" spans="1:1" s="9" customFormat="1" x14ac:dyDescent="0.25">
      <c r="A9300" s="8"/>
    </row>
    <row r="9301" spans="1:1" s="9" customFormat="1" x14ac:dyDescent="0.25">
      <c r="A9301" s="8"/>
    </row>
    <row r="9302" spans="1:1" s="9" customFormat="1" x14ac:dyDescent="0.25">
      <c r="A9302" s="8"/>
    </row>
    <row r="9303" spans="1:1" s="9" customFormat="1" x14ac:dyDescent="0.25">
      <c r="A9303" s="8"/>
    </row>
    <row r="9304" spans="1:1" s="9" customFormat="1" x14ac:dyDescent="0.25">
      <c r="A9304" s="8"/>
    </row>
    <row r="9305" spans="1:1" s="9" customFormat="1" x14ac:dyDescent="0.25">
      <c r="A9305" s="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FUND</vt:lpstr>
      <vt:lpstr>LOCATION</vt:lpstr>
      <vt:lpstr>COST CENTER</vt:lpstr>
      <vt:lpstr>USER-ACTIVE</vt:lpstr>
      <vt:lpstr>OBJECT-ACTIVE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Beckham, Shannon</dc:creator>
  <cp:lastModifiedBy>Chandrasekar, Edwin</cp:lastModifiedBy>
  <cp:lastPrinted>2026-02-13T03:18:31Z</cp:lastPrinted>
  <dcterms:created xsi:type="dcterms:W3CDTF">2026-02-12T01:47:22Z</dcterms:created>
  <dcterms:modified xsi:type="dcterms:W3CDTF">2026-04-06T19:35:45Z</dcterms:modified>
</cp:coreProperties>
</file>